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9435" windowHeight="5025" activeTab="0"/>
  </bookViews>
  <sheets>
    <sheet name="Anmeldung" sheetId="1" r:id="rId1"/>
    <sheet name="Vorrunde" sheetId="2" r:id="rId2"/>
    <sheet name="RankSeed" sheetId="3" r:id="rId3"/>
    <sheet name="Resultate" sheetId="4" r:id="rId4"/>
    <sheet name="Tableau" sheetId="5" r:id="rId5"/>
    <sheet name="Rangliste" sheetId="6" r:id="rId6"/>
  </sheets>
  <externalReferences>
    <externalReference r:id="rId9"/>
    <externalReference r:id="rId10"/>
  </externalReferences>
  <definedNames>
    <definedName name="_Fill" hidden="1">#REF!</definedName>
    <definedName name="_xlnm.Print_Area" localSheetId="0">'Anmeldung'!$A$1:$K$23</definedName>
    <definedName name="_xlnm.Print_Area" localSheetId="5">'Rangliste'!$A$1:$C$17</definedName>
    <definedName name="_xlnm.Print_Area" localSheetId="2">'RankSeed'!$A$1:$O$20</definedName>
    <definedName name="_xlnm.Print_Area" localSheetId="3">'Resultate'!$A$1:$K$14</definedName>
    <definedName name="_xlnm.Print_Area" localSheetId="1">'Vorrunde'!$A$1:$K$25</definedName>
    <definedName name="_xlnm.Print_Titles" localSheetId="3">'Resultate'!$1:$1</definedName>
  </definedNames>
  <calcPr fullCalcOnLoad="1"/>
</workbook>
</file>

<file path=xl/sharedStrings.xml><?xml version="1.0" encoding="utf-8"?>
<sst xmlns="http://schemas.openxmlformats.org/spreadsheetml/2006/main" count="326" uniqueCount="64">
  <si>
    <t>Seed</t>
  </si>
  <si>
    <t>Player 1</t>
  </si>
  <si>
    <t>Vorname</t>
  </si>
  <si>
    <t>Player 2</t>
  </si>
  <si>
    <t>Turnier- gebühr</t>
  </si>
  <si>
    <t>Team Name
Player 1/Player 2</t>
  </si>
  <si>
    <t>Wohnort</t>
  </si>
  <si>
    <t>Team
Ranking</t>
  </si>
  <si>
    <t>Match
Number</t>
  </si>
  <si>
    <t>Round</t>
  </si>
  <si>
    <t>Court</t>
  </si>
  <si>
    <t>Team 1</t>
  </si>
  <si>
    <t>vs</t>
  </si>
  <si>
    <t>Team 2</t>
  </si>
  <si>
    <t>Resultat</t>
  </si>
  <si>
    <t>Dauer</t>
  </si>
  <si>
    <t>I</t>
  </si>
  <si>
    <t>&lt;-&gt;</t>
  </si>
  <si>
    <t>SF</t>
  </si>
  <si>
    <t>3/4</t>
  </si>
  <si>
    <t>F</t>
  </si>
  <si>
    <t>Team</t>
  </si>
  <si>
    <t>1. Satz</t>
  </si>
  <si>
    <t>2. Satz</t>
  </si>
  <si>
    <t>Gruppe A</t>
  </si>
  <si>
    <t>Gruppe D</t>
  </si>
  <si>
    <t>Gruppe C</t>
  </si>
  <si>
    <t>Gruppe B</t>
  </si>
  <si>
    <t>Gruppe</t>
  </si>
  <si>
    <t>A</t>
  </si>
  <si>
    <t>B</t>
  </si>
  <si>
    <t>C</t>
  </si>
  <si>
    <t>D</t>
  </si>
  <si>
    <t>Sätze</t>
  </si>
  <si>
    <t>:</t>
  </si>
  <si>
    <t>Diff</t>
  </si>
  <si>
    <t>Punkte</t>
  </si>
  <si>
    <t>Quotient</t>
  </si>
  <si>
    <t>Rang</t>
  </si>
  <si>
    <t>A1</t>
  </si>
  <si>
    <t>B1</t>
  </si>
  <si>
    <t>C1</t>
  </si>
  <si>
    <t>D1</t>
  </si>
  <si>
    <t>B2</t>
  </si>
  <si>
    <t>A2</t>
  </si>
  <si>
    <t>C2</t>
  </si>
  <si>
    <t>D2</t>
  </si>
  <si>
    <t>Startzeit</t>
  </si>
  <si>
    <t>A3</t>
  </si>
  <si>
    <t>B3</t>
  </si>
  <si>
    <t>C3</t>
  </si>
  <si>
    <t>D3</t>
  </si>
  <si>
    <t>Bei identischen Rängen in einer Gruppe, Rang von Hand eingeben: 1. direkte Begegnung, 2. Quotient, 3. Los</t>
  </si>
  <si>
    <t>B4</t>
  </si>
  <si>
    <t>A4</t>
  </si>
  <si>
    <t>D4</t>
  </si>
  <si>
    <t>C4</t>
  </si>
  <si>
    <t>Wohnort 1</t>
  </si>
  <si>
    <t>Wohnort 2</t>
  </si>
  <si>
    <t>3. Satz</t>
  </si>
  <si>
    <t>BC</t>
  </si>
  <si>
    <t>II</t>
  </si>
  <si>
    <t>3./4. Rang</t>
  </si>
  <si>
    <t>Finale</t>
  </si>
</sst>
</file>

<file path=xl/styles.xml><?xml version="1.0" encoding="utf-8"?>
<styleSheet xmlns="http://schemas.openxmlformats.org/spreadsheetml/2006/main">
  <numFmts count="44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\ &quot;DM&quot;;\-#,##0\ &quot;DM&quot;"/>
    <numFmt numFmtId="179" formatCode="#,##0\ &quot;DM&quot;;[Red]\-#,##0\ &quot;DM&quot;"/>
    <numFmt numFmtId="180" formatCode="#,##0.00\ &quot;DM&quot;;\-#,##0.00\ &quot;DM&quot;"/>
    <numFmt numFmtId="181" formatCode="#,##0.00\ &quot;DM&quot;;[Red]\-#,##0.00\ &quot;DM&quot;"/>
    <numFmt numFmtId="182" formatCode="_-* #,##0\ &quot;DM&quot;_-;\-* #,##0\ &quot;DM&quot;_-;_-* &quot;-&quot;\ &quot;DM&quot;_-;_-@_-"/>
    <numFmt numFmtId="183" formatCode="_-* #,##0\ _D_M_-;\-* #,##0\ _D_M_-;_-* &quot;-&quot;\ _D_M_-;_-@_-"/>
    <numFmt numFmtId="184" formatCode="_-* #,##0.00\ &quot;DM&quot;_-;\-* #,##0.00\ &quot;DM&quot;_-;_-* &quot;-&quot;??\ &quot;DM&quot;_-;_-@_-"/>
    <numFmt numFmtId="185" formatCode="_-* #,##0.00\ _D_M_-;\-* #,##0.00\ _D_M_-;_-* &quot;-&quot;??\ _D_M_-;_-@_-"/>
    <numFmt numFmtId="186" formatCode="#,##0&quot;L.&quot;;\-#,##0&quot;L.&quot;"/>
    <numFmt numFmtId="187" formatCode="#,##0&quot;L.&quot;;[Red]\-#,##0&quot;L.&quot;"/>
    <numFmt numFmtId="188" formatCode="#,##0.00&quot;L.&quot;;\-#,##0.00&quot;L.&quot;"/>
    <numFmt numFmtId="189" formatCode="#,##0.00&quot;L.&quot;;[Red]\-#,##0.00&quot;L.&quot;"/>
    <numFmt numFmtId="190" formatCode="_-* #,##0&quot;L.&quot;_-;\-* #,##0&quot;L.&quot;_-;_-* &quot;-&quot;&quot;L.&quot;_-;_-@_-"/>
    <numFmt numFmtId="191" formatCode="_-* #,##0_L_._-;\-* #,##0_L_._-;_-* &quot;-&quot;_L_._-;_-@_-"/>
    <numFmt numFmtId="192" formatCode="_-* #,##0.00&quot;L.&quot;_-;\-* #,##0.00&quot;L.&quot;_-;_-* &quot;-&quot;??&quot;L.&quot;_-;_-@_-"/>
    <numFmt numFmtId="193" formatCode="_-* #,##0.00_L_._-;\-* #,##0.00_L_._-;_-* &quot;-&quot;??_L_._-;_-@_-"/>
    <numFmt numFmtId="194" formatCode="General_)"/>
    <numFmt numFmtId="195" formatCode="dd\-mmm_)"/>
    <numFmt numFmtId="196" formatCode="0.00_)"/>
    <numFmt numFmtId="197" formatCode="&quot;Fr.&quot;\ #,##0.00"/>
    <numFmt numFmtId="198" formatCode="hh:mm:ss;@"/>
    <numFmt numFmtId="199" formatCode="0.0000"/>
  </numFmts>
  <fonts count="2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gray0625"/>
    </fill>
  </fills>
  <borders count="4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double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1" applyNumberFormat="0" applyAlignment="0" applyProtection="0"/>
    <xf numFmtId="0" fontId="11" fillId="15" borderId="2" applyNumberFormat="0" applyAlignment="0" applyProtection="0"/>
    <xf numFmtId="0" fontId="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2" fillId="7" borderId="2" applyNumberFormat="0" applyAlignment="0" applyProtection="0"/>
    <xf numFmtId="0" fontId="13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6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17" borderId="9" applyNumberFormat="0" applyAlignment="0" applyProtection="0"/>
  </cellStyleXfs>
  <cellXfs count="19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0" fontId="5" fillId="0" borderId="13" xfId="0" applyFont="1" applyBorder="1" applyAlignment="1">
      <alignment horizontal="center" vertical="center" textRotation="90" wrapText="1"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left"/>
    </xf>
    <xf numFmtId="0" fontId="1" fillId="0" borderId="15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2" xfId="0" applyBorder="1" applyAlignment="1">
      <alignment/>
    </xf>
    <xf numFmtId="0" fontId="0" fillId="7" borderId="26" xfId="0" applyFill="1" applyBorder="1" applyAlignment="1" applyProtection="1">
      <alignment horizontal="center"/>
      <protection locked="0"/>
    </xf>
    <xf numFmtId="0" fontId="0" fillId="7" borderId="18" xfId="0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0" fontId="0" fillId="7" borderId="0" xfId="0" applyFill="1" applyBorder="1" applyAlignment="1">
      <alignment/>
    </xf>
    <xf numFmtId="0" fontId="0" fillId="7" borderId="0" xfId="0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7" borderId="0" xfId="0" applyFill="1" applyAlignment="1">
      <alignment/>
    </xf>
    <xf numFmtId="199" fontId="0" fillId="0" borderId="16" xfId="0" applyNumberFormat="1" applyBorder="1" applyAlignment="1">
      <alignment horizontal="center"/>
    </xf>
    <xf numFmtId="199" fontId="0" fillId="0" borderId="17" xfId="0" applyNumberFormat="1" applyBorder="1" applyAlignment="1">
      <alignment horizontal="center"/>
    </xf>
    <xf numFmtId="199" fontId="0" fillId="0" borderId="15" xfId="0" applyNumberForma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7" borderId="0" xfId="0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5" fillId="18" borderId="28" xfId="0" applyFont="1" applyFill="1" applyBorder="1" applyAlignment="1">
      <alignment horizontal="center" vertical="center" wrapText="1"/>
    </xf>
    <xf numFmtId="0" fontId="0" fillId="0" borderId="29" xfId="0" applyBorder="1" applyAlignment="1" applyProtection="1">
      <alignment horizontal="center"/>
      <protection/>
    </xf>
    <xf numFmtId="0" fontId="0" fillId="0" borderId="16" xfId="0" applyFill="1" applyBorder="1" applyAlignment="1" applyProtection="1">
      <alignment horizontal="left"/>
      <protection/>
    </xf>
    <xf numFmtId="0" fontId="0" fillId="0" borderId="17" xfId="0" applyFill="1" applyBorder="1" applyAlignment="1" applyProtection="1">
      <alignment horizontal="left"/>
      <protection/>
    </xf>
    <xf numFmtId="0" fontId="0" fillId="0" borderId="11" xfId="0" applyBorder="1" applyAlignment="1">
      <alignment horizontal="left"/>
    </xf>
    <xf numFmtId="0" fontId="4" fillId="7" borderId="11" xfId="0" applyFont="1" applyFill="1" applyBorder="1" applyAlignment="1" applyProtection="1">
      <alignment horizontal="center" vertical="center"/>
      <protection locked="0"/>
    </xf>
    <xf numFmtId="20" fontId="4" fillId="7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0" fontId="5" fillId="0" borderId="11" xfId="0" applyFont="1" applyFill="1" applyBorder="1" applyAlignment="1">
      <alignment horizontal="center" vertical="center" textRotation="90" wrapText="1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5" fillId="0" borderId="30" xfId="0" applyFont="1" applyFill="1" applyBorder="1" applyAlignment="1">
      <alignment horizontal="center" vertical="center" textRotation="90" wrapText="1"/>
    </xf>
    <xf numFmtId="0" fontId="5" fillId="0" borderId="13" xfId="0" applyFont="1" applyFill="1" applyBorder="1" applyAlignment="1">
      <alignment horizontal="center" vertical="center" textRotation="90" wrapText="1"/>
    </xf>
    <xf numFmtId="0" fontId="5" fillId="0" borderId="12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Continuous" vertical="center"/>
    </xf>
    <xf numFmtId="0" fontId="5" fillId="0" borderId="32" xfId="0" applyFont="1" applyFill="1" applyBorder="1" applyAlignment="1">
      <alignment horizontal="centerContinuous" vertical="center"/>
    </xf>
    <xf numFmtId="0" fontId="5" fillId="0" borderId="13" xfId="0" applyFont="1" applyFill="1" applyBorder="1" applyAlignment="1">
      <alignment horizontal="centerContinuous" vertical="center"/>
    </xf>
    <xf numFmtId="0" fontId="5" fillId="0" borderId="33" xfId="0" applyFont="1" applyFill="1" applyBorder="1" applyAlignment="1">
      <alignment horizontal="center" vertical="center" textRotation="90" wrapText="1"/>
    </xf>
    <xf numFmtId="0" fontId="5" fillId="0" borderId="34" xfId="0" applyFont="1" applyFill="1" applyBorder="1" applyAlignment="1">
      <alignment horizontal="centerContinuous" vertical="center"/>
    </xf>
    <xf numFmtId="0" fontId="5" fillId="0" borderId="35" xfId="0" applyFont="1" applyFill="1" applyBorder="1" applyAlignment="1">
      <alignment horizontal="centerContinuous" vertical="center"/>
    </xf>
    <xf numFmtId="0" fontId="5" fillId="0" borderId="36" xfId="0" applyFont="1" applyFill="1" applyBorder="1" applyAlignment="1">
      <alignment horizontal="centerContinuous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20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38" xfId="0" applyFont="1" applyFill="1" applyBorder="1" applyAlignment="1" applyProtection="1">
      <alignment horizontal="center" vertical="center"/>
      <protection locked="0"/>
    </xf>
    <xf numFmtId="0" fontId="4" fillId="0" borderId="39" xfId="0" applyFont="1" applyFill="1" applyBorder="1" applyAlignment="1" applyProtection="1">
      <alignment horizontal="center" vertical="center"/>
      <protection locked="0"/>
    </xf>
    <xf numFmtId="0" fontId="4" fillId="0" borderId="40" xfId="0" applyFont="1" applyFill="1" applyBorder="1" applyAlignment="1" applyProtection="1">
      <alignment horizontal="center" vertical="center"/>
      <protection locked="0"/>
    </xf>
    <xf numFmtId="0" fontId="4" fillId="0" borderId="25" xfId="0" applyFont="1" applyFill="1" applyBorder="1" applyAlignment="1" applyProtection="1">
      <alignment horizontal="center" vertical="center"/>
      <protection locked="0"/>
    </xf>
    <xf numFmtId="0" fontId="4" fillId="0" borderId="23" xfId="0" applyFont="1" applyFill="1" applyBorder="1" applyAlignment="1">
      <alignment horizontal="center" vertical="center"/>
    </xf>
    <xf numFmtId="20" fontId="4" fillId="0" borderId="18" xfId="0" applyNumberFormat="1" applyFont="1" applyFill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>
      <alignment horizontal="center" vertical="center"/>
    </xf>
    <xf numFmtId="0" fontId="4" fillId="0" borderId="41" xfId="0" applyFont="1" applyFill="1" applyBorder="1" applyAlignment="1" applyProtection="1">
      <alignment horizontal="center" vertical="center"/>
      <protection locked="0"/>
    </xf>
    <xf numFmtId="0" fontId="4" fillId="0" borderId="42" xfId="0" applyFont="1" applyFill="1" applyBorder="1" applyAlignment="1" applyProtection="1">
      <alignment horizontal="center" vertical="center"/>
      <protection locked="0"/>
    </xf>
    <xf numFmtId="0" fontId="4" fillId="0" borderId="43" xfId="0" applyFont="1" applyFill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wrapText="1"/>
    </xf>
    <xf numFmtId="0" fontId="0" fillId="0" borderId="27" xfId="0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7" borderId="11" xfId="0" applyFill="1" applyBorder="1" applyAlignment="1" applyProtection="1">
      <alignment horizontal="left" vertical="center"/>
      <protection locked="0"/>
    </xf>
    <xf numFmtId="0" fontId="0" fillId="7" borderId="11" xfId="0" applyFill="1" applyBorder="1" applyAlignment="1" applyProtection="1">
      <alignment horizontal="center" vertical="center"/>
      <protection locked="0"/>
    </xf>
    <xf numFmtId="0" fontId="0" fillId="7" borderId="11" xfId="0" applyFill="1" applyBorder="1" applyAlignment="1" applyProtection="1">
      <alignment vertical="center"/>
      <protection locked="0"/>
    </xf>
    <xf numFmtId="0" fontId="0" fillId="7" borderId="11" xfId="0" applyFill="1" applyBorder="1" applyAlignment="1">
      <alignment horizontal="center" vertical="center"/>
    </xf>
    <xf numFmtId="0" fontId="4" fillId="7" borderId="39" xfId="0" applyFont="1" applyFill="1" applyBorder="1" applyAlignment="1" applyProtection="1">
      <alignment horizontal="center" vertical="center"/>
      <protection locked="0"/>
    </xf>
    <xf numFmtId="0" fontId="4" fillId="7" borderId="42" xfId="0" applyFont="1" applyFill="1" applyBorder="1" applyAlignment="1" applyProtection="1">
      <alignment horizontal="center" vertical="center"/>
      <protection locked="0"/>
    </xf>
    <xf numFmtId="0" fontId="4" fillId="7" borderId="40" xfId="0" applyFont="1" applyFill="1" applyBorder="1" applyAlignment="1" applyProtection="1">
      <alignment horizontal="center" vertical="center"/>
      <protection locked="0"/>
    </xf>
    <xf numFmtId="0" fontId="4" fillId="7" borderId="43" xfId="0" applyFont="1" applyFill="1" applyBorder="1" applyAlignment="1" applyProtection="1">
      <alignment horizontal="center" vertical="center"/>
      <protection locked="0"/>
    </xf>
    <xf numFmtId="0" fontId="4" fillId="0" borderId="39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7" borderId="28" xfId="0" applyFont="1" applyFill="1" applyBorder="1" applyAlignment="1" applyProtection="1">
      <alignment horizontal="center" vertical="center"/>
      <protection locked="0"/>
    </xf>
    <xf numFmtId="20" fontId="4" fillId="7" borderId="28" xfId="0" applyNumberFormat="1" applyFont="1" applyFill="1" applyBorder="1" applyAlignment="1" applyProtection="1">
      <alignment horizontal="center" vertical="center"/>
      <protection locked="0"/>
    </xf>
    <xf numFmtId="0" fontId="4" fillId="0" borderId="28" xfId="0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>
      <alignment horizontal="center" vertical="center"/>
    </xf>
    <xf numFmtId="0" fontId="4" fillId="0" borderId="28" xfId="0" applyFont="1" applyFill="1" applyBorder="1" applyAlignment="1" applyProtection="1">
      <alignment horizontal="center" vertical="center"/>
      <protection locked="0"/>
    </xf>
    <xf numFmtId="0" fontId="4" fillId="0" borderId="45" xfId="0" applyFont="1" applyFill="1" applyBorder="1" applyAlignment="1" applyProtection="1">
      <alignment horizontal="center" vertical="center"/>
      <protection locked="0"/>
    </xf>
    <xf numFmtId="0" fontId="4" fillId="0" borderId="42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4" fillId="7" borderId="18" xfId="0" applyFont="1" applyFill="1" applyBorder="1" applyAlignment="1" applyProtection="1">
      <alignment horizontal="center" vertical="center"/>
      <protection locked="0"/>
    </xf>
    <xf numFmtId="20" fontId="4" fillId="7" borderId="18" xfId="0" applyNumberFormat="1" applyFont="1" applyFill="1" applyBorder="1" applyAlignment="1" applyProtection="1">
      <alignment horizontal="center" vertical="center"/>
      <protection locked="0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Fill="1" applyBorder="1" applyAlignment="1" applyProtection="1">
      <alignment horizontal="center" vertical="center"/>
      <protection/>
    </xf>
    <xf numFmtId="16" fontId="4" fillId="7" borderId="18" xfId="0" applyNumberFormat="1" applyFont="1" applyFill="1" applyBorder="1" applyAlignment="1" applyProtection="1">
      <alignment horizontal="center" vertical="center"/>
      <protection locked="0"/>
    </xf>
    <xf numFmtId="0" fontId="5" fillId="0" borderId="46" xfId="0" applyFont="1" applyBorder="1" applyAlignment="1">
      <alignment horizontal="center" vertical="center" textRotation="90" wrapText="1"/>
    </xf>
    <xf numFmtId="0" fontId="5" fillId="0" borderId="47" xfId="0" applyFont="1" applyBorder="1" applyAlignment="1">
      <alignment horizontal="center" vertical="center" textRotation="90" wrapText="1"/>
    </xf>
    <xf numFmtId="0" fontId="5" fillId="0" borderId="47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/>
    </xf>
    <xf numFmtId="0" fontId="5" fillId="0" borderId="47" xfId="0" applyFont="1" applyFill="1" applyBorder="1" applyAlignment="1">
      <alignment horizontal="centerContinuous" vertical="center"/>
    </xf>
    <xf numFmtId="0" fontId="5" fillId="0" borderId="47" xfId="0" applyFont="1" applyFill="1" applyBorder="1" applyAlignment="1">
      <alignment horizontal="center" vertical="center" textRotation="90" wrapText="1"/>
    </xf>
    <xf numFmtId="0" fontId="5" fillId="0" borderId="48" xfId="0" applyFont="1" applyFill="1" applyBorder="1" applyAlignment="1">
      <alignment horizontal="centerContinuous" vertical="center"/>
    </xf>
    <xf numFmtId="0" fontId="0" fillId="18" borderId="11" xfId="0" applyFill="1" applyBorder="1" applyAlignment="1" applyProtection="1">
      <alignment horizontal="left" vertical="center"/>
      <protection locked="0"/>
    </xf>
    <xf numFmtId="0" fontId="1" fillId="0" borderId="19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1" xfId="0" applyBorder="1" applyAlignment="1">
      <alignment horizontal="center"/>
    </xf>
    <xf numFmtId="0" fontId="24" fillId="0" borderId="0" xfId="0" applyFont="1" applyAlignment="1">
      <alignment vertical="center"/>
    </xf>
    <xf numFmtId="37" fontId="5" fillId="0" borderId="20" xfId="0" applyNumberFormat="1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22" xfId="0" applyBorder="1" applyAlignment="1">
      <alignment/>
    </xf>
    <xf numFmtId="0" fontId="0" fillId="0" borderId="0" xfId="0" applyFill="1" applyBorder="1" applyAlignment="1">
      <alignment/>
    </xf>
    <xf numFmtId="37" fontId="1" fillId="19" borderId="22" xfId="0" applyNumberFormat="1" applyFont="1" applyFill="1" applyBorder="1" applyAlignment="1">
      <alignment horizontal="center" vertical="center"/>
    </xf>
    <xf numFmtId="0" fontId="5" fillId="0" borderId="17" xfId="0" applyFont="1" applyBorder="1" applyAlignment="1">
      <alignment horizontal="left" vertical="center"/>
    </xf>
    <xf numFmtId="0" fontId="24" fillId="0" borderId="20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5" fillId="0" borderId="22" xfId="0" applyFont="1" applyBorder="1" applyAlignment="1">
      <alignment horizontal="right" vertical="center"/>
    </xf>
    <xf numFmtId="0" fontId="24" fillId="0" borderId="21" xfId="0" applyFont="1" applyBorder="1" applyAlignment="1">
      <alignment horizontal="left" vertical="center"/>
    </xf>
    <xf numFmtId="0" fontId="24" fillId="0" borderId="0" xfId="0" applyFont="1" applyAlignment="1">
      <alignment horizontal="right" vertical="center"/>
    </xf>
    <xf numFmtId="37" fontId="5" fillId="0" borderId="23" xfId="0" applyNumberFormat="1" applyFont="1" applyBorder="1" applyAlignment="1">
      <alignment horizontal="left" vertical="center"/>
    </xf>
    <xf numFmtId="0" fontId="24" fillId="0" borderId="0" xfId="0" applyFont="1" applyBorder="1" applyAlignment="1">
      <alignment horizontal="right" vertical="center"/>
    </xf>
    <xf numFmtId="0" fontId="24" fillId="0" borderId="22" xfId="0" applyFont="1" applyBorder="1" applyAlignment="1">
      <alignment horizontal="right" vertical="center"/>
    </xf>
    <xf numFmtId="0" fontId="5" fillId="0" borderId="20" xfId="0" applyFont="1" applyBorder="1" applyAlignment="1">
      <alignment horizontal="right" vertical="center"/>
    </xf>
    <xf numFmtId="0" fontId="24" fillId="0" borderId="22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5" fillId="0" borderId="21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25" fillId="0" borderId="22" xfId="0" applyFont="1" applyBorder="1" applyAlignment="1">
      <alignment horizontal="center" vertical="center"/>
    </xf>
    <xf numFmtId="37" fontId="5" fillId="0" borderId="0" xfId="0" applyNumberFormat="1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right" vertical="center"/>
    </xf>
    <xf numFmtId="0" fontId="26" fillId="0" borderId="22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left" vertical="center"/>
    </xf>
    <xf numFmtId="37" fontId="24" fillId="0" borderId="22" xfId="0" applyNumberFormat="1" applyFont="1" applyBorder="1" applyAlignment="1">
      <alignment horizontal="left" vertical="center"/>
    </xf>
    <xf numFmtId="37" fontId="24" fillId="0" borderId="0" xfId="0" applyNumberFormat="1" applyFont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24" fillId="0" borderId="21" xfId="0" applyFont="1" applyBorder="1" applyAlignment="1">
      <alignment vertical="center"/>
    </xf>
    <xf numFmtId="0" fontId="24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right" vertic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24" fillId="0" borderId="18" xfId="0" applyFont="1" applyBorder="1" applyAlignment="1">
      <alignment horizontal="left" vertical="center"/>
    </xf>
    <xf numFmtId="0" fontId="24" fillId="0" borderId="19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37" fontId="1" fillId="19" borderId="0" xfId="0" applyNumberFormat="1" applyFont="1" applyFill="1" applyBorder="1" applyAlignment="1">
      <alignment horizontal="center" vertical="center"/>
    </xf>
    <xf numFmtId="0" fontId="24" fillId="0" borderId="17" xfId="0" applyFont="1" applyBorder="1" applyAlignment="1">
      <alignment horizontal="right" vertical="center"/>
    </xf>
    <xf numFmtId="37" fontId="5" fillId="0" borderId="17" xfId="0" applyNumberFormat="1" applyFont="1" applyBorder="1" applyAlignment="1">
      <alignment horizontal="left" vertical="center"/>
    </xf>
    <xf numFmtId="37" fontId="24" fillId="0" borderId="23" xfId="0" applyNumberFormat="1" applyFont="1" applyBorder="1" applyAlignment="1">
      <alignment horizontal="left" vertical="center"/>
    </xf>
    <xf numFmtId="0" fontId="26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0" fontId="26" fillId="0" borderId="0" xfId="0" applyFont="1" applyFill="1" applyBorder="1" applyAlignment="1">
      <alignment horizontal="centerContinuous" vertical="center"/>
    </xf>
    <xf numFmtId="0" fontId="5" fillId="0" borderId="0" xfId="0" applyFont="1" applyBorder="1" applyAlignment="1">
      <alignment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Teams-G2-26Sp-F23-2Feld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Teams-G4-52Sp-F23-3Feld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meldung"/>
      <sheetName val="Vorrunde"/>
      <sheetName val="RankSeed"/>
      <sheetName val="Resultate"/>
      <sheetName val="Ranglist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meldung"/>
      <sheetName val="Vorrunde"/>
      <sheetName val="RankSeed"/>
      <sheetName val="Resultate"/>
      <sheetName val="Tableau"/>
      <sheetName val="Rangliste"/>
    </sheetNames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tabSelected="1" zoomScalePageLayoutView="0" workbookViewId="0" topLeftCell="A1">
      <selection activeCell="B25" sqref="B25"/>
    </sheetView>
  </sheetViews>
  <sheetFormatPr defaultColWidth="8.7109375" defaultRowHeight="12.75"/>
  <cols>
    <col min="1" max="1" width="3.00390625" style="2" customWidth="1"/>
    <col min="2" max="2" width="13.00390625" style="0" customWidth="1"/>
    <col min="3" max="3" width="13.140625" style="2" customWidth="1"/>
    <col min="4" max="4" width="12.8515625" style="2" customWidth="1"/>
    <col min="5" max="5" width="13.140625" style="0" customWidth="1"/>
    <col min="6" max="6" width="10.7109375" style="2" customWidth="1"/>
    <col min="7" max="7" width="13.7109375" style="0" customWidth="1"/>
    <col min="8" max="8" width="4.57421875" style="2" customWidth="1"/>
    <col min="9" max="9" width="20.421875" style="0" customWidth="1"/>
    <col min="10" max="10" width="23.8515625" style="2" customWidth="1"/>
    <col min="11" max="11" width="5.00390625" style="2" customWidth="1"/>
    <col min="12" max="12" width="9.00390625" style="0" hidden="1" customWidth="1"/>
    <col min="13" max="13" width="14.57421875" style="0" hidden="1" customWidth="1"/>
  </cols>
  <sheetData>
    <row r="1" spans="1:16" ht="39.75" customHeight="1" thickBot="1" thickTop="1">
      <c r="A1" s="62" t="s">
        <v>0</v>
      </c>
      <c r="B1" s="63" t="s">
        <v>1</v>
      </c>
      <c r="C1" s="63" t="s">
        <v>2</v>
      </c>
      <c r="D1" s="63" t="s">
        <v>60</v>
      </c>
      <c r="E1" s="63" t="s">
        <v>3</v>
      </c>
      <c r="F1" s="63" t="s">
        <v>2</v>
      </c>
      <c r="G1" s="63" t="s">
        <v>60</v>
      </c>
      <c r="H1" s="62" t="s">
        <v>4</v>
      </c>
      <c r="I1" s="64" t="s">
        <v>5</v>
      </c>
      <c r="J1" s="62" t="s">
        <v>6</v>
      </c>
      <c r="K1" s="62" t="s">
        <v>7</v>
      </c>
      <c r="L1" s="52" t="s">
        <v>0</v>
      </c>
      <c r="M1" s="9" t="s">
        <v>5</v>
      </c>
      <c r="O1" t="s">
        <v>57</v>
      </c>
      <c r="P1" t="s">
        <v>58</v>
      </c>
    </row>
    <row r="2" spans="1:13" s="8" customFormat="1" ht="13.5" customHeight="1" thickTop="1">
      <c r="A2" s="65">
        <v>1</v>
      </c>
      <c r="B2" s="130"/>
      <c r="C2" s="99"/>
      <c r="D2" s="100"/>
      <c r="E2" s="130"/>
      <c r="F2" s="99"/>
      <c r="G2" s="101"/>
      <c r="H2" s="47"/>
      <c r="I2" s="66" t="str">
        <f>CONCATENATE($B$2," / ",$E$2)</f>
        <v> / </v>
      </c>
      <c r="J2" s="99"/>
      <c r="K2" s="102"/>
      <c r="L2" s="22">
        <v>1</v>
      </c>
      <c r="M2" s="4" t="str">
        <f>CONCATENATE($B$2," / ",$E$2)</f>
        <v> / </v>
      </c>
    </row>
    <row r="3" spans="1:13" s="8" customFormat="1" ht="13.5" customHeight="1">
      <c r="A3" s="65">
        <v>2</v>
      </c>
      <c r="B3" s="130"/>
      <c r="C3" s="99"/>
      <c r="D3" s="100"/>
      <c r="E3" s="130"/>
      <c r="F3" s="99"/>
      <c r="G3" s="101"/>
      <c r="H3" s="47"/>
      <c r="I3" s="66" t="str">
        <f>CONCATENATE($B$3," / ",$E$3)</f>
        <v> / </v>
      </c>
      <c r="J3" s="99"/>
      <c r="K3" s="102"/>
      <c r="L3" s="6">
        <v>2</v>
      </c>
      <c r="M3" s="5" t="str">
        <f>CONCATENATE($B$3," / ",$E$3)</f>
        <v> / </v>
      </c>
    </row>
    <row r="4" spans="1:13" s="8" customFormat="1" ht="13.5" customHeight="1">
      <c r="A4" s="65">
        <v>3</v>
      </c>
      <c r="B4" s="130"/>
      <c r="C4" s="99"/>
      <c r="D4" s="100"/>
      <c r="E4" s="130"/>
      <c r="F4" s="99"/>
      <c r="G4" s="101"/>
      <c r="H4" s="47"/>
      <c r="I4" s="66" t="str">
        <f>CONCATENATE($B$4," / ",$E$4)</f>
        <v> / </v>
      </c>
      <c r="J4" s="99"/>
      <c r="K4" s="102"/>
      <c r="L4" s="6">
        <v>3</v>
      </c>
      <c r="M4" s="5" t="str">
        <f>CONCATENATE($B$4," / ",$E$4)</f>
        <v> / </v>
      </c>
    </row>
    <row r="5" spans="1:13" s="8" customFormat="1" ht="13.5" customHeight="1">
      <c r="A5" s="65">
        <v>4</v>
      </c>
      <c r="B5" s="130"/>
      <c r="C5" s="99"/>
      <c r="D5" s="100"/>
      <c r="E5" s="130"/>
      <c r="F5" s="99"/>
      <c r="G5" s="101"/>
      <c r="H5" s="47"/>
      <c r="I5" s="66" t="str">
        <f>CONCATENATE($B$5," / ",$E$5)</f>
        <v> / </v>
      </c>
      <c r="J5" s="99"/>
      <c r="K5" s="102"/>
      <c r="L5" s="6">
        <v>4</v>
      </c>
      <c r="M5" s="5" t="str">
        <f>CONCATENATE($B$5," / ",$E$5)</f>
        <v> / </v>
      </c>
    </row>
    <row r="6" spans="1:13" s="8" customFormat="1" ht="13.5" customHeight="1">
      <c r="A6" s="65">
        <v>5</v>
      </c>
      <c r="B6" s="130"/>
      <c r="C6" s="99"/>
      <c r="D6" s="100"/>
      <c r="E6" s="130"/>
      <c r="F6" s="99"/>
      <c r="G6" s="101"/>
      <c r="H6" s="47"/>
      <c r="I6" s="66" t="str">
        <f>CONCATENATE($B$6," / ",$E$6)</f>
        <v> / </v>
      </c>
      <c r="J6" s="99"/>
      <c r="K6" s="102"/>
      <c r="L6" s="47">
        <v>5</v>
      </c>
      <c r="M6" s="5" t="str">
        <f>CONCATENATE($B$6," / ",$E$6)</f>
        <v> / </v>
      </c>
    </row>
    <row r="7" spans="1:13" s="8" customFormat="1" ht="13.5" customHeight="1">
      <c r="A7" s="65">
        <v>6</v>
      </c>
      <c r="B7" s="130"/>
      <c r="C7" s="99"/>
      <c r="D7" s="100"/>
      <c r="E7" s="130"/>
      <c r="F7" s="99"/>
      <c r="G7" s="101"/>
      <c r="H7" s="47"/>
      <c r="I7" s="66" t="str">
        <f>CONCATENATE($B$7," / ",$E$7)</f>
        <v> / </v>
      </c>
      <c r="J7" s="99"/>
      <c r="K7" s="102"/>
      <c r="L7" s="47">
        <v>6</v>
      </c>
      <c r="M7" s="5" t="str">
        <f>CONCATENATE($B$7," / ",$E$7)</f>
        <v> / </v>
      </c>
    </row>
    <row r="8" spans="1:13" s="8" customFormat="1" ht="13.5" customHeight="1">
      <c r="A8" s="65">
        <v>7</v>
      </c>
      <c r="B8" s="130"/>
      <c r="C8" s="99"/>
      <c r="D8" s="100"/>
      <c r="E8" s="130"/>
      <c r="F8" s="99"/>
      <c r="G8" s="101"/>
      <c r="H8" s="47"/>
      <c r="I8" s="66" t="str">
        <f>CONCATENATE($B$8," / ",$E$8)</f>
        <v> / </v>
      </c>
      <c r="J8" s="99"/>
      <c r="K8" s="102"/>
      <c r="L8" s="47">
        <v>7</v>
      </c>
      <c r="M8" s="5" t="str">
        <f>CONCATENATE($B$8," / ",$E$8)</f>
        <v> / </v>
      </c>
    </row>
    <row r="9" spans="1:13" s="8" customFormat="1" ht="13.5" customHeight="1">
      <c r="A9" s="65">
        <v>8</v>
      </c>
      <c r="B9" s="130"/>
      <c r="C9" s="99"/>
      <c r="D9" s="100"/>
      <c r="E9" s="130"/>
      <c r="F9" s="99"/>
      <c r="G9" s="101"/>
      <c r="H9" s="47"/>
      <c r="I9" s="66" t="str">
        <f>CONCATENATE($B$9," / ",$E$9)</f>
        <v> / </v>
      </c>
      <c r="J9" s="99"/>
      <c r="K9" s="102"/>
      <c r="L9" s="47">
        <v>8</v>
      </c>
      <c r="M9" s="5" t="str">
        <f>CONCATENATE($B$9," / ",$E$9)</f>
        <v> / </v>
      </c>
    </row>
    <row r="10" spans="1:13" s="8" customFormat="1" ht="13.5" customHeight="1">
      <c r="A10" s="65">
        <v>9</v>
      </c>
      <c r="B10" s="130"/>
      <c r="C10" s="99"/>
      <c r="D10" s="100"/>
      <c r="E10" s="130"/>
      <c r="F10" s="99"/>
      <c r="G10" s="101"/>
      <c r="H10" s="47"/>
      <c r="I10" s="66" t="str">
        <f>CONCATENATE($B$10," / ",$E$10)</f>
        <v> / </v>
      </c>
      <c r="J10" s="99"/>
      <c r="K10" s="102"/>
      <c r="L10" s="47">
        <v>9</v>
      </c>
      <c r="M10" s="5" t="str">
        <f>CONCATENATE($B$10," / ",$E$10)</f>
        <v> / </v>
      </c>
    </row>
    <row r="11" spans="1:13" s="8" customFormat="1" ht="13.5" customHeight="1">
      <c r="A11" s="65">
        <v>10</v>
      </c>
      <c r="B11" s="130"/>
      <c r="C11" s="99"/>
      <c r="D11" s="100"/>
      <c r="E11" s="130"/>
      <c r="F11" s="99"/>
      <c r="G11" s="101"/>
      <c r="H11" s="47"/>
      <c r="I11" s="66" t="str">
        <f>CONCATENATE($B$11," / ",$E$11)</f>
        <v> / </v>
      </c>
      <c r="J11" s="99"/>
      <c r="K11" s="102"/>
      <c r="L11" s="47">
        <v>10</v>
      </c>
      <c r="M11" s="5" t="str">
        <f>CONCATENATE($B$11," / ",$E$11)</f>
        <v> / </v>
      </c>
    </row>
    <row r="12" spans="1:13" s="8" customFormat="1" ht="13.5" customHeight="1">
      <c r="A12" s="65">
        <v>11</v>
      </c>
      <c r="B12" s="130"/>
      <c r="C12" s="99"/>
      <c r="D12" s="100"/>
      <c r="E12" s="130"/>
      <c r="F12" s="99"/>
      <c r="G12" s="101"/>
      <c r="H12" s="47"/>
      <c r="I12" s="66" t="str">
        <f>CONCATENATE($B$12," / ",$E$12)</f>
        <v> / </v>
      </c>
      <c r="J12" s="99"/>
      <c r="K12" s="102"/>
      <c r="L12" s="47">
        <v>11</v>
      </c>
      <c r="M12" s="5" t="str">
        <f>CONCATENATE($B$12," / ",$E$12)</f>
        <v> / </v>
      </c>
    </row>
    <row r="13" spans="1:13" s="8" customFormat="1" ht="13.5" customHeight="1">
      <c r="A13" s="65">
        <v>12</v>
      </c>
      <c r="B13" s="130"/>
      <c r="C13" s="99"/>
      <c r="D13" s="100"/>
      <c r="E13" s="130"/>
      <c r="F13" s="99"/>
      <c r="G13" s="101"/>
      <c r="H13" s="47"/>
      <c r="I13" s="66" t="str">
        <f>CONCATENATE($B$13," / ",$E$13)</f>
        <v> / </v>
      </c>
      <c r="J13" s="99"/>
      <c r="K13" s="102"/>
      <c r="L13" s="47">
        <v>12</v>
      </c>
      <c r="M13" s="5" t="str">
        <f>CONCATENATE($B$13," / ",$E$13)</f>
        <v> / </v>
      </c>
    </row>
    <row r="14" spans="1:13" s="8" customFormat="1" ht="13.5" customHeight="1">
      <c r="A14" s="65">
        <v>13</v>
      </c>
      <c r="B14" s="130"/>
      <c r="C14" s="99"/>
      <c r="D14" s="100"/>
      <c r="E14" s="130"/>
      <c r="F14" s="99"/>
      <c r="G14" s="101"/>
      <c r="H14" s="47"/>
      <c r="I14" s="66" t="str">
        <f>CONCATENATE($B$14," / ",$E$14)</f>
        <v> / </v>
      </c>
      <c r="J14" s="99"/>
      <c r="K14" s="102"/>
      <c r="L14" s="47">
        <v>13</v>
      </c>
      <c r="M14" s="5" t="str">
        <f>CONCATENATE($B$14," / ",$E$14)</f>
        <v> / </v>
      </c>
    </row>
    <row r="15" spans="1:13" s="8" customFormat="1" ht="13.5" customHeight="1">
      <c r="A15" s="65">
        <v>14</v>
      </c>
      <c r="B15" s="130"/>
      <c r="C15" s="99"/>
      <c r="D15" s="100"/>
      <c r="E15" s="130"/>
      <c r="F15" s="99"/>
      <c r="G15" s="101"/>
      <c r="H15" s="47"/>
      <c r="I15" s="66" t="str">
        <f>CONCATENATE($B$15," / ",$E$15)</f>
        <v> / </v>
      </c>
      <c r="J15" s="99"/>
      <c r="K15" s="102"/>
      <c r="L15" s="47">
        <v>14</v>
      </c>
      <c r="M15" s="5" t="str">
        <f>CONCATENATE($B$15," / ",$E$15)</f>
        <v> / </v>
      </c>
    </row>
    <row r="16" spans="1:13" s="8" customFormat="1" ht="13.5" customHeight="1">
      <c r="A16" s="65">
        <v>15</v>
      </c>
      <c r="B16" s="130"/>
      <c r="C16" s="99"/>
      <c r="D16" s="100"/>
      <c r="E16" s="130"/>
      <c r="F16" s="99"/>
      <c r="G16" s="101"/>
      <c r="H16" s="47"/>
      <c r="I16" s="66" t="str">
        <f>CONCATENATE($B$16," / ",$E$16)</f>
        <v> / </v>
      </c>
      <c r="J16" s="99"/>
      <c r="K16" s="102"/>
      <c r="L16" s="47">
        <v>15</v>
      </c>
      <c r="M16" s="5" t="str">
        <f>CONCATENATE($B$16," / ",$E$16)</f>
        <v> / </v>
      </c>
    </row>
    <row r="17" spans="1:13" s="8" customFormat="1" ht="13.5" customHeight="1">
      <c r="A17" s="65">
        <v>16</v>
      </c>
      <c r="B17" s="130"/>
      <c r="C17" s="99"/>
      <c r="D17" s="100"/>
      <c r="E17" s="130"/>
      <c r="F17" s="99"/>
      <c r="G17" s="101"/>
      <c r="H17" s="47"/>
      <c r="I17" s="66" t="str">
        <f>CONCATENATE($B$17," / ",$E$17)</f>
        <v> / </v>
      </c>
      <c r="J17" s="99"/>
      <c r="K17" s="102"/>
      <c r="L17" s="47">
        <v>16</v>
      </c>
      <c r="M17" s="5" t="str">
        <f>CONCATENATE($B$17," / ",$E$17)</f>
        <v> / </v>
      </c>
    </row>
    <row r="19" spans="1:11" ht="12.75">
      <c r="A19" s="16"/>
      <c r="B19" s="131" t="s">
        <v>24</v>
      </c>
      <c r="C19" s="132"/>
      <c r="D19" s="133" t="s">
        <v>27</v>
      </c>
      <c r="E19" s="131"/>
      <c r="F19" s="132"/>
      <c r="G19" s="133" t="s">
        <v>26</v>
      </c>
      <c r="H19" s="131"/>
      <c r="I19" s="132"/>
      <c r="J19" s="133" t="s">
        <v>25</v>
      </c>
      <c r="K19" s="132"/>
    </row>
    <row r="20" spans="1:11" ht="12.75">
      <c r="A20" s="17">
        <v>1</v>
      </c>
      <c r="B20" s="135" t="str">
        <f>IF(I2=" / ","Team 1, Gruppe A",I2)</f>
        <v>Team 1, Gruppe A</v>
      </c>
      <c r="C20" s="136"/>
      <c r="D20" s="134" t="str">
        <f>IF(I3=" / ","Team 1, Gruppe B",I3)</f>
        <v>Team 1, Gruppe B</v>
      </c>
      <c r="E20" s="135"/>
      <c r="F20" s="136"/>
      <c r="G20" s="134" t="str">
        <f>IF(I4=" / ","Team 1, Gruppe C",I4)</f>
        <v>Team 1, Gruppe C</v>
      </c>
      <c r="H20" s="135"/>
      <c r="I20" s="136"/>
      <c r="J20" s="134" t="str">
        <f>IF(I5=" / ","Team 1, Gruppe D",I5)</f>
        <v>Team 1, Gruppe D</v>
      </c>
      <c r="K20" s="136"/>
    </row>
    <row r="21" spans="1:11" ht="12.75">
      <c r="A21" s="17">
        <v>2</v>
      </c>
      <c r="B21" s="135" t="str">
        <f>IF(I9=" / ","Team 2, Gruppe A",I9)</f>
        <v>Team 2, Gruppe A</v>
      </c>
      <c r="C21" s="136"/>
      <c r="D21" s="134" t="str">
        <f>IF(I8=" / ","Team 2, Gruppe B",I8)</f>
        <v>Team 2, Gruppe B</v>
      </c>
      <c r="E21" s="135"/>
      <c r="F21" s="136"/>
      <c r="G21" s="134" t="str">
        <f>IF(I7=" / ","Team 2, Gruppe C",I7)</f>
        <v>Team 2, Gruppe C</v>
      </c>
      <c r="H21" s="135"/>
      <c r="I21" s="136"/>
      <c r="J21" s="134" t="str">
        <f>IF(I6=" / ","Team 2, Gruppe D",I6)</f>
        <v>Team 2, Gruppe D</v>
      </c>
      <c r="K21" s="136"/>
    </row>
    <row r="22" spans="1:11" ht="12.75">
      <c r="A22" s="17">
        <v>3</v>
      </c>
      <c r="B22" s="135" t="str">
        <f>IF(I10=" / ","Team 3, Gruppe A",I10)</f>
        <v>Team 3, Gruppe A</v>
      </c>
      <c r="C22" s="136"/>
      <c r="D22" s="134" t="str">
        <f>IF(I11=" / ","Team 3, Gruppe B",I11)</f>
        <v>Team 3, Gruppe B</v>
      </c>
      <c r="E22" s="135"/>
      <c r="F22" s="136"/>
      <c r="G22" s="134" t="str">
        <f>IF(I12=" / ","Team 3, Gruppe C",I12)</f>
        <v>Team 3, Gruppe C</v>
      </c>
      <c r="H22" s="135"/>
      <c r="I22" s="136"/>
      <c r="J22" s="134" t="str">
        <f>IF(I13=" / ","Team 3, Gruppe D",I13)</f>
        <v>Team 3, Gruppe D</v>
      </c>
      <c r="K22" s="136"/>
    </row>
    <row r="23" spans="1:11" ht="12.75">
      <c r="A23" s="18">
        <v>4</v>
      </c>
      <c r="B23" s="137" t="str">
        <f>IF(I17=" / ","Team 4, Gruppe A",I17)</f>
        <v>Team 4, Gruppe A</v>
      </c>
      <c r="C23" s="138"/>
      <c r="D23" s="139" t="str">
        <f>IF(I16=" / ","Team 4, Gruppe B",I16)</f>
        <v>Team 4, Gruppe B</v>
      </c>
      <c r="E23" s="137"/>
      <c r="F23" s="138"/>
      <c r="G23" s="139" t="str">
        <f>IF(I15=" / ","Team 4, Gruppe C",I15)</f>
        <v>Team 4, Gruppe C</v>
      </c>
      <c r="H23" s="137"/>
      <c r="I23" s="138"/>
      <c r="J23" s="139" t="str">
        <f>IF(I14=" / ","Team 4, Gruppe D",I14)</f>
        <v>Team 4, Gruppe D</v>
      </c>
      <c r="K23" s="138"/>
    </row>
    <row r="26" spans="1:13" ht="12.75">
      <c r="A26" s="59"/>
      <c r="B26" s="15"/>
      <c r="C26" s="60"/>
      <c r="D26" s="59"/>
      <c r="E26" s="15"/>
      <c r="F26" s="60"/>
      <c r="G26" s="15"/>
      <c r="H26" s="60"/>
      <c r="I26" s="15"/>
      <c r="J26" s="60"/>
      <c r="K26" s="60"/>
      <c r="L26" s="61"/>
      <c r="M26" s="15"/>
    </row>
    <row r="27" spans="1:13" ht="12.75">
      <c r="A27" s="59"/>
      <c r="B27" s="15"/>
      <c r="C27" s="60"/>
      <c r="D27" s="60"/>
      <c r="E27" s="15"/>
      <c r="F27" s="60"/>
      <c r="G27" s="15"/>
      <c r="H27" s="60"/>
      <c r="I27" s="15"/>
      <c r="J27" s="60"/>
      <c r="K27" s="60"/>
      <c r="L27" s="15"/>
      <c r="M27" s="15"/>
    </row>
  </sheetData>
  <sheetProtection formatCells="0" formatColumns="0" formatRows="0" selectLockedCells="1"/>
  <mergeCells count="20">
    <mergeCell ref="G19:I19"/>
    <mergeCell ref="G20:I20"/>
    <mergeCell ref="J19:K19"/>
    <mergeCell ref="J20:K20"/>
    <mergeCell ref="J21:K21"/>
    <mergeCell ref="J22:K22"/>
    <mergeCell ref="B23:C23"/>
    <mergeCell ref="D23:F23"/>
    <mergeCell ref="G23:I23"/>
    <mergeCell ref="J23:K23"/>
    <mergeCell ref="G21:I21"/>
    <mergeCell ref="G22:I22"/>
    <mergeCell ref="B22:C22"/>
    <mergeCell ref="D22:F22"/>
    <mergeCell ref="B19:C19"/>
    <mergeCell ref="D19:F19"/>
    <mergeCell ref="D20:F20"/>
    <mergeCell ref="D21:F21"/>
    <mergeCell ref="B20:C20"/>
    <mergeCell ref="B21:C21"/>
  </mergeCells>
  <printOptions horizontalCentered="1"/>
  <pageMargins left="0.3937007874015748" right="0.3937007874015748" top="1.46" bottom="0.3937007874015748" header="0.36" footer="0.5118110236220472"/>
  <pageSetup fitToHeight="1" fitToWidth="1" horizontalDpi="300" verticalDpi="300" orientation="landscape" paperSize="9" r:id="rId1"/>
  <headerFooter alignWithMargins="0">
    <oddHeader>&amp;CCOOP Junior Beach Tour
Setzliste 16 Teams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25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3" width="4.7109375" style="3" customWidth="1"/>
    <col min="4" max="4" width="6.8515625" style="3" customWidth="1"/>
    <col min="5" max="5" width="29.421875" style="3" customWidth="1"/>
    <col min="6" max="6" width="3.57421875" style="3" customWidth="1"/>
    <col min="7" max="7" width="29.421875" style="3" customWidth="1"/>
    <col min="8" max="10" width="3.8515625" style="3" customWidth="1"/>
    <col min="11" max="11" width="6.140625" style="3" customWidth="1"/>
    <col min="12" max="20" width="3.8515625" style="3" customWidth="1"/>
    <col min="21" max="16384" width="9.140625" style="1" customWidth="1"/>
  </cols>
  <sheetData>
    <row r="1" spans="1:20" ht="64.5" customHeight="1" thickBot="1" thickTop="1">
      <c r="A1" s="67" t="s">
        <v>8</v>
      </c>
      <c r="B1" s="68" t="s">
        <v>28</v>
      </c>
      <c r="C1" s="68" t="s">
        <v>10</v>
      </c>
      <c r="D1" s="68" t="s">
        <v>47</v>
      </c>
      <c r="E1" s="69" t="s">
        <v>11</v>
      </c>
      <c r="F1" s="69" t="s">
        <v>12</v>
      </c>
      <c r="G1" s="69" t="s">
        <v>13</v>
      </c>
      <c r="H1" s="70" t="s">
        <v>14</v>
      </c>
      <c r="I1" s="71"/>
      <c r="J1" s="72"/>
      <c r="K1" s="73" t="s">
        <v>15</v>
      </c>
      <c r="L1" s="74" t="s">
        <v>22</v>
      </c>
      <c r="M1" s="75"/>
      <c r="N1" s="76"/>
      <c r="O1" s="74" t="s">
        <v>23</v>
      </c>
      <c r="P1" s="75"/>
      <c r="Q1" s="76"/>
      <c r="R1" s="74" t="s">
        <v>59</v>
      </c>
      <c r="S1" s="75"/>
      <c r="T1" s="76"/>
    </row>
    <row r="2" spans="1:26" s="13" customFormat="1" ht="18" customHeight="1" thickBot="1" thickTop="1">
      <c r="A2" s="77">
        <v>1</v>
      </c>
      <c r="B2" s="78" t="s">
        <v>32</v>
      </c>
      <c r="C2" s="86">
        <v>1</v>
      </c>
      <c r="D2" s="80"/>
      <c r="E2" s="81" t="str">
        <f>IF(Anmeldung!J21="/",CONCATENATE("Gruppe D Team #",Anmeldung!A21),Anmeldung!J21)</f>
        <v>Team 2, Gruppe D</v>
      </c>
      <c r="F2" s="81" t="s">
        <v>12</v>
      </c>
      <c r="G2" s="81" t="str">
        <f>IF(Anmeldung!J22="/",CONCATENATE("Gruppe D Team #",Anmeldung!A22),Anmeldung!J22)</f>
        <v>Team 3, Gruppe D</v>
      </c>
      <c r="H2" s="82">
        <f aca="true" t="shared" si="0" ref="H2:H25">IF(L2=N2,"",SUM(IF(L2&gt;N2,1,0),IF(O2&gt;Q2,1,0),IF(R2&lt;=T2,0,1)))</f>
      </c>
      <c r="I2" s="81" t="s">
        <v>17</v>
      </c>
      <c r="J2" s="81">
        <f aca="true" t="shared" si="1" ref="J2:J25">IF(L2=N2,"",SUM(IF(L2&lt;N2,1,0),IF(O2&lt;Q2,1,0),IF(R2&gt;=T2,0,1)))</f>
      </c>
      <c r="K2" s="83"/>
      <c r="L2" s="103"/>
      <c r="M2" s="81" t="s">
        <v>17</v>
      </c>
      <c r="N2" s="105"/>
      <c r="O2" s="103"/>
      <c r="P2" s="81" t="s">
        <v>17</v>
      </c>
      <c r="Q2" s="105"/>
      <c r="R2" s="84"/>
      <c r="S2" s="81" t="s">
        <v>17</v>
      </c>
      <c r="T2" s="85"/>
      <c r="U2" s="12"/>
      <c r="V2" s="14"/>
      <c r="W2" s="14"/>
      <c r="X2" s="14"/>
      <c r="Y2" s="14"/>
      <c r="Z2" s="14"/>
    </row>
    <row r="3" spans="1:26" ht="18" customHeight="1">
      <c r="A3" s="77">
        <f>SUM(A2,1)</f>
        <v>2</v>
      </c>
      <c r="B3" s="78" t="s">
        <v>31</v>
      </c>
      <c r="C3" s="86">
        <v>2</v>
      </c>
      <c r="D3" s="80"/>
      <c r="E3" s="81" t="str">
        <f>IF(Anmeldung!G21="/",CONCATENATE("Gruppe C Team #",Anmeldung!A21),Anmeldung!G21)</f>
        <v>Team 2, Gruppe C</v>
      </c>
      <c r="F3" s="81" t="s">
        <v>12</v>
      </c>
      <c r="G3" s="81" t="str">
        <f>IF(Anmeldung!G22="/",CONCATENATE("Gruppe C Team #",Anmeldung!A22),Anmeldung!G22)</f>
        <v>Team 3, Gruppe C</v>
      </c>
      <c r="H3" s="82">
        <f t="shared" si="0"/>
      </c>
      <c r="I3" s="81" t="s">
        <v>17</v>
      </c>
      <c r="J3" s="81">
        <f t="shared" si="1"/>
      </c>
      <c r="K3" s="83"/>
      <c r="L3" s="103"/>
      <c r="M3" s="81" t="s">
        <v>17</v>
      </c>
      <c r="N3" s="105"/>
      <c r="O3" s="103"/>
      <c r="P3" s="81" t="s">
        <v>17</v>
      </c>
      <c r="Q3" s="105"/>
      <c r="R3" s="84"/>
      <c r="S3" s="81" t="s">
        <v>17</v>
      </c>
      <c r="T3" s="85"/>
      <c r="U3" s="12"/>
      <c r="V3" s="14"/>
      <c r="W3" s="14"/>
      <c r="X3" s="14"/>
      <c r="Y3" s="14"/>
      <c r="Z3" s="14"/>
    </row>
    <row r="4" spans="1:26" s="13" customFormat="1" ht="18" customHeight="1" thickBot="1">
      <c r="A4" s="77">
        <f>SUM(A3,1)</f>
        <v>3</v>
      </c>
      <c r="B4" s="78" t="s">
        <v>30</v>
      </c>
      <c r="C4" s="79"/>
      <c r="D4" s="80"/>
      <c r="E4" s="81" t="str">
        <f>IF(Anmeldung!D21="/",CONCATENATE("Gruppe B Team #",Anmeldung!A21),Anmeldung!D21)</f>
        <v>Team 2, Gruppe B</v>
      </c>
      <c r="F4" s="81" t="s">
        <v>12</v>
      </c>
      <c r="G4" s="81" t="str">
        <f>IF(Anmeldung!D22="/",CONCATENATE("Gruppe B Team #",Anmeldung!A22),Anmeldung!D22)</f>
        <v>Team 3, Gruppe B</v>
      </c>
      <c r="H4" s="82">
        <f t="shared" si="0"/>
      </c>
      <c r="I4" s="81" t="s">
        <v>17</v>
      </c>
      <c r="J4" s="81">
        <f t="shared" si="1"/>
      </c>
      <c r="K4" s="83"/>
      <c r="L4" s="103"/>
      <c r="M4" s="81" t="s">
        <v>17</v>
      </c>
      <c r="N4" s="105"/>
      <c r="O4" s="103"/>
      <c r="P4" s="81" t="s">
        <v>17</v>
      </c>
      <c r="Q4" s="105"/>
      <c r="R4" s="84"/>
      <c r="S4" s="81" t="s">
        <v>17</v>
      </c>
      <c r="T4" s="85"/>
      <c r="U4" s="12"/>
      <c r="V4" s="14"/>
      <c r="W4" s="14"/>
      <c r="X4" s="14"/>
      <c r="Y4" s="14"/>
      <c r="Z4" s="14"/>
    </row>
    <row r="5" spans="1:21" ht="18" customHeight="1">
      <c r="A5" s="77">
        <f aca="true" t="shared" si="2" ref="A5:A25">SUM(A4,1)</f>
        <v>4</v>
      </c>
      <c r="B5" s="87" t="s">
        <v>29</v>
      </c>
      <c r="C5" s="79"/>
      <c r="D5" s="88"/>
      <c r="E5" s="89" t="str">
        <f>IF(Anmeldung!B21="/",CONCATENATE("Gruppe A Team #",Anmeldung!A21),Anmeldung!B21)</f>
        <v>Team 2, Gruppe A</v>
      </c>
      <c r="F5" s="89" t="s">
        <v>12</v>
      </c>
      <c r="G5" s="89" t="str">
        <f>IF(Anmeldung!B22="/",CONCATENATE("Gruppe A Team #",Anmeldung!A22),Anmeldung!B22)</f>
        <v>Team 3, Gruppe A</v>
      </c>
      <c r="H5" s="82">
        <f t="shared" si="0"/>
      </c>
      <c r="I5" s="81" t="s">
        <v>17</v>
      </c>
      <c r="J5" s="81">
        <f t="shared" si="1"/>
      </c>
      <c r="K5" s="90"/>
      <c r="L5" s="104"/>
      <c r="M5" s="89" t="s">
        <v>17</v>
      </c>
      <c r="N5" s="106"/>
      <c r="O5" s="104"/>
      <c r="P5" s="89" t="s">
        <v>17</v>
      </c>
      <c r="Q5" s="106"/>
      <c r="R5" s="91"/>
      <c r="S5" s="89" t="s">
        <v>17</v>
      </c>
      <c r="T5" s="92"/>
      <c r="U5"/>
    </row>
    <row r="6" spans="1:26" s="13" customFormat="1" ht="18" customHeight="1" thickBot="1">
      <c r="A6" s="77">
        <f t="shared" si="2"/>
        <v>5</v>
      </c>
      <c r="B6" s="78" t="s">
        <v>32</v>
      </c>
      <c r="C6" s="79"/>
      <c r="D6" s="80"/>
      <c r="E6" s="81" t="str">
        <f>IF(Anmeldung!J20=" / ",CONCATENATE("Gruppe D Team #",Anmeldung!A20),Anmeldung!J20)</f>
        <v>Team 1, Gruppe D</v>
      </c>
      <c r="F6" s="81" t="s">
        <v>12</v>
      </c>
      <c r="G6" s="81" t="str">
        <f>IF(Anmeldung!J23="/",CONCATENATE("Gruppe D Team #",Anmeldung!A23),Anmeldung!J23)</f>
        <v>Team 4, Gruppe D</v>
      </c>
      <c r="H6" s="82">
        <f t="shared" si="0"/>
      </c>
      <c r="I6" s="81" t="s">
        <v>17</v>
      </c>
      <c r="J6" s="81">
        <f t="shared" si="1"/>
      </c>
      <c r="K6" s="83"/>
      <c r="L6" s="103"/>
      <c r="M6" s="81" t="s">
        <v>17</v>
      </c>
      <c r="N6" s="105"/>
      <c r="O6" s="103"/>
      <c r="P6" s="81" t="s">
        <v>17</v>
      </c>
      <c r="Q6" s="105"/>
      <c r="R6" s="84"/>
      <c r="S6" s="81" t="s">
        <v>17</v>
      </c>
      <c r="T6" s="85"/>
      <c r="U6" s="12"/>
      <c r="V6" s="14"/>
      <c r="W6" s="14"/>
      <c r="X6" s="14"/>
      <c r="Y6" s="14"/>
      <c r="Z6" s="14"/>
    </row>
    <row r="7" spans="1:26" ht="18" customHeight="1">
      <c r="A7" s="77">
        <f t="shared" si="2"/>
        <v>6</v>
      </c>
      <c r="B7" s="78" t="s">
        <v>31</v>
      </c>
      <c r="C7" s="79"/>
      <c r="D7" s="80"/>
      <c r="E7" s="81" t="str">
        <f>IF(Anmeldung!G20=" / ",CONCATENATE("Gruppe C Team #",Anmeldung!A20),Anmeldung!G20)</f>
        <v>Team 1, Gruppe C</v>
      </c>
      <c r="F7" s="81" t="s">
        <v>12</v>
      </c>
      <c r="G7" s="81" t="str">
        <f>IF(Anmeldung!G23="/",CONCATENATE("Gruppe C Team #",Anmeldung!A23),Anmeldung!G23)</f>
        <v>Team 4, Gruppe C</v>
      </c>
      <c r="H7" s="82">
        <f t="shared" si="0"/>
      </c>
      <c r="I7" s="81" t="s">
        <v>17</v>
      </c>
      <c r="J7" s="81">
        <f t="shared" si="1"/>
      </c>
      <c r="K7" s="83"/>
      <c r="L7" s="103"/>
      <c r="M7" s="81" t="s">
        <v>17</v>
      </c>
      <c r="N7" s="105"/>
      <c r="O7" s="103"/>
      <c r="P7" s="81" t="s">
        <v>17</v>
      </c>
      <c r="Q7" s="105"/>
      <c r="R7" s="84"/>
      <c r="S7" s="81" t="s">
        <v>17</v>
      </c>
      <c r="T7" s="85"/>
      <c r="U7" s="12"/>
      <c r="V7" s="14"/>
      <c r="W7" s="14"/>
      <c r="X7" s="14"/>
      <c r="Y7" s="14"/>
      <c r="Z7" s="14"/>
    </row>
    <row r="8" spans="1:26" s="13" customFormat="1" ht="18" customHeight="1" thickBot="1">
      <c r="A8" s="77">
        <f t="shared" si="2"/>
        <v>7</v>
      </c>
      <c r="B8" s="78" t="s">
        <v>30</v>
      </c>
      <c r="C8" s="79"/>
      <c r="D8" s="80"/>
      <c r="E8" s="81" t="str">
        <f>IF(Anmeldung!D20=" / ",CONCATENATE("Gruppe B Team #",Anmeldung!A20),Anmeldung!D20)</f>
        <v>Team 1, Gruppe B</v>
      </c>
      <c r="F8" s="81" t="s">
        <v>12</v>
      </c>
      <c r="G8" s="81" t="str">
        <f>IF(Anmeldung!D23="/",CONCATENATE("Gruppe B Team #",Anmeldung!A23),Anmeldung!D23)</f>
        <v>Team 4, Gruppe B</v>
      </c>
      <c r="H8" s="82">
        <f t="shared" si="0"/>
      </c>
      <c r="I8" s="81" t="s">
        <v>17</v>
      </c>
      <c r="J8" s="81">
        <f t="shared" si="1"/>
      </c>
      <c r="K8" s="83"/>
      <c r="L8" s="103"/>
      <c r="M8" s="81" t="s">
        <v>17</v>
      </c>
      <c r="N8" s="105"/>
      <c r="O8" s="103"/>
      <c r="P8" s="81" t="s">
        <v>17</v>
      </c>
      <c r="Q8" s="105"/>
      <c r="R8" s="84"/>
      <c r="S8" s="81" t="s">
        <v>17</v>
      </c>
      <c r="T8" s="85"/>
      <c r="U8" s="12"/>
      <c r="V8" s="14"/>
      <c r="W8" s="14"/>
      <c r="X8" s="14"/>
      <c r="Y8" s="14"/>
      <c r="Z8" s="14"/>
    </row>
    <row r="9" spans="1:21" ht="18" customHeight="1">
      <c r="A9" s="77">
        <f t="shared" si="2"/>
        <v>8</v>
      </c>
      <c r="B9" s="78" t="s">
        <v>29</v>
      </c>
      <c r="C9" s="79"/>
      <c r="D9" s="80"/>
      <c r="E9" s="81" t="str">
        <f>IF(Anmeldung!B20=" / ",CONCATENATE("Gruppe A Team #",Anmeldung!A20),Anmeldung!B20)</f>
        <v>Team 1, Gruppe A</v>
      </c>
      <c r="F9" s="81" t="s">
        <v>12</v>
      </c>
      <c r="G9" s="81" t="str">
        <f>IF(Anmeldung!B23="/",CONCATENATE("Gruppe A Team #",Anmeldung!A23),Anmeldung!B23)</f>
        <v>Team 4, Gruppe A</v>
      </c>
      <c r="H9" s="82">
        <f t="shared" si="0"/>
      </c>
      <c r="I9" s="81" t="s">
        <v>17</v>
      </c>
      <c r="J9" s="81">
        <f t="shared" si="1"/>
      </c>
      <c r="K9" s="83"/>
      <c r="L9" s="103"/>
      <c r="M9" s="81" t="s">
        <v>17</v>
      </c>
      <c r="N9" s="105"/>
      <c r="O9" s="103"/>
      <c r="P9" s="81" t="s">
        <v>17</v>
      </c>
      <c r="Q9" s="105"/>
      <c r="R9" s="84"/>
      <c r="S9" s="81" t="s">
        <v>17</v>
      </c>
      <c r="T9" s="85"/>
      <c r="U9"/>
    </row>
    <row r="10" spans="1:21" ht="18" customHeight="1">
      <c r="A10" s="77">
        <f t="shared" si="2"/>
        <v>9</v>
      </c>
      <c r="B10" s="78" t="s">
        <v>32</v>
      </c>
      <c r="C10" s="79"/>
      <c r="D10" s="80"/>
      <c r="E10" s="81" t="str">
        <f>IF(Anmeldung!J21="/",CONCATENATE("Gruppe D Team #",Anmeldung!A21),Anmeldung!J21)</f>
        <v>Team 2, Gruppe D</v>
      </c>
      <c r="F10" s="81" t="s">
        <v>12</v>
      </c>
      <c r="G10" s="81" t="str">
        <f>IF(Anmeldung!J23="/",CONCATENATE("Gruppe D Team #",Anmeldung!A23),Anmeldung!J23)</f>
        <v>Team 4, Gruppe D</v>
      </c>
      <c r="H10" s="82">
        <f t="shared" si="0"/>
      </c>
      <c r="I10" s="81" t="s">
        <v>17</v>
      </c>
      <c r="J10" s="81">
        <f t="shared" si="1"/>
      </c>
      <c r="K10" s="83"/>
      <c r="L10" s="103"/>
      <c r="M10" s="81" t="s">
        <v>17</v>
      </c>
      <c r="N10" s="105"/>
      <c r="O10" s="103"/>
      <c r="P10" s="81" t="s">
        <v>17</v>
      </c>
      <c r="Q10" s="105"/>
      <c r="R10" s="84"/>
      <c r="S10" s="81" t="s">
        <v>17</v>
      </c>
      <c r="T10" s="85"/>
      <c r="U10"/>
    </row>
    <row r="11" spans="1:21" ht="18" customHeight="1">
      <c r="A11" s="77">
        <f t="shared" si="2"/>
        <v>10</v>
      </c>
      <c r="B11" s="78" t="s">
        <v>31</v>
      </c>
      <c r="C11" s="79"/>
      <c r="D11" s="80"/>
      <c r="E11" s="81" t="str">
        <f>IF(Anmeldung!G21="/",CONCATENATE("Gruppe C Team #",Anmeldung!A21),Anmeldung!G21)</f>
        <v>Team 2, Gruppe C</v>
      </c>
      <c r="F11" s="81" t="s">
        <v>12</v>
      </c>
      <c r="G11" s="81" t="str">
        <f>IF(Anmeldung!G23="/",CONCATENATE("Gruppe C Team #",Anmeldung!A23),Anmeldung!G23)</f>
        <v>Team 4, Gruppe C</v>
      </c>
      <c r="H11" s="82">
        <f t="shared" si="0"/>
      </c>
      <c r="I11" s="81" t="s">
        <v>17</v>
      </c>
      <c r="J11" s="81">
        <f t="shared" si="1"/>
      </c>
      <c r="K11" s="83"/>
      <c r="L11" s="103"/>
      <c r="M11" s="81" t="s">
        <v>17</v>
      </c>
      <c r="N11" s="105"/>
      <c r="O11" s="103"/>
      <c r="P11" s="81" t="s">
        <v>17</v>
      </c>
      <c r="Q11" s="105"/>
      <c r="R11" s="84"/>
      <c r="S11" s="81" t="s">
        <v>17</v>
      </c>
      <c r="T11" s="85"/>
      <c r="U11"/>
    </row>
    <row r="12" spans="1:21" ht="18" customHeight="1">
      <c r="A12" s="77">
        <f t="shared" si="2"/>
        <v>11</v>
      </c>
      <c r="B12" s="78" t="s">
        <v>30</v>
      </c>
      <c r="C12" s="79"/>
      <c r="D12" s="80"/>
      <c r="E12" s="81" t="str">
        <f>IF(Anmeldung!D21="/",CONCATENATE("Gruppe B Team #",Anmeldung!A21),Anmeldung!D21)</f>
        <v>Team 2, Gruppe B</v>
      </c>
      <c r="F12" s="81" t="s">
        <v>12</v>
      </c>
      <c r="G12" s="81" t="str">
        <f>IF(Anmeldung!D23="/",CONCATENATE("Gruppe B Team #",Anmeldung!A23),Anmeldung!D23)</f>
        <v>Team 4, Gruppe B</v>
      </c>
      <c r="H12" s="82">
        <f t="shared" si="0"/>
      </c>
      <c r="I12" s="81" t="s">
        <v>17</v>
      </c>
      <c r="J12" s="81">
        <f t="shared" si="1"/>
      </c>
      <c r="K12" s="83"/>
      <c r="L12" s="103"/>
      <c r="M12" s="81" t="s">
        <v>17</v>
      </c>
      <c r="N12" s="105"/>
      <c r="O12" s="103"/>
      <c r="P12" s="81" t="s">
        <v>17</v>
      </c>
      <c r="Q12" s="105"/>
      <c r="R12" s="84"/>
      <c r="S12" s="81" t="s">
        <v>17</v>
      </c>
      <c r="T12" s="85"/>
      <c r="U12"/>
    </row>
    <row r="13" spans="1:21" ht="18" customHeight="1">
      <c r="A13" s="77">
        <f t="shared" si="2"/>
        <v>12</v>
      </c>
      <c r="B13" s="78" t="s">
        <v>29</v>
      </c>
      <c r="C13" s="79"/>
      <c r="D13" s="80"/>
      <c r="E13" s="81" t="str">
        <f>IF(Anmeldung!B21="/",CONCATENATE("Gruppe A Team #",Anmeldung!A21),Anmeldung!B21)</f>
        <v>Team 2, Gruppe A</v>
      </c>
      <c r="F13" s="81" t="s">
        <v>12</v>
      </c>
      <c r="G13" s="81" t="str">
        <f>IF(Anmeldung!B23="/",CONCATENATE("Gruppe A Team #",Anmeldung!A23),Anmeldung!B23)</f>
        <v>Team 4, Gruppe A</v>
      </c>
      <c r="H13" s="82">
        <f t="shared" si="0"/>
      </c>
      <c r="I13" s="81" t="s">
        <v>17</v>
      </c>
      <c r="J13" s="81">
        <f t="shared" si="1"/>
      </c>
      <c r="K13" s="83"/>
      <c r="L13" s="103"/>
      <c r="M13" s="81" t="s">
        <v>17</v>
      </c>
      <c r="N13" s="105"/>
      <c r="O13" s="103"/>
      <c r="P13" s="81" t="s">
        <v>17</v>
      </c>
      <c r="Q13" s="105"/>
      <c r="R13" s="84"/>
      <c r="S13" s="81" t="s">
        <v>17</v>
      </c>
      <c r="T13" s="85"/>
      <c r="U13"/>
    </row>
    <row r="14" spans="1:21" ht="18" customHeight="1">
      <c r="A14" s="77">
        <f t="shared" si="2"/>
        <v>13</v>
      </c>
      <c r="B14" s="78" t="s">
        <v>32</v>
      </c>
      <c r="C14" s="79"/>
      <c r="D14" s="80"/>
      <c r="E14" s="81" t="str">
        <f>IF(Anmeldung!J20=" / ",CONCATENATE("Gruppe D Team #",Anmeldung!A20),Anmeldung!J20)</f>
        <v>Team 1, Gruppe D</v>
      </c>
      <c r="F14" s="81" t="s">
        <v>12</v>
      </c>
      <c r="G14" s="81" t="str">
        <f>IF(Anmeldung!J22="/",CONCATENATE("Gruppe D Team #",Anmeldung!A22),Anmeldung!J22)</f>
        <v>Team 3, Gruppe D</v>
      </c>
      <c r="H14" s="82">
        <f t="shared" si="0"/>
      </c>
      <c r="I14" s="81" t="s">
        <v>17</v>
      </c>
      <c r="J14" s="81">
        <f t="shared" si="1"/>
      </c>
      <c r="K14" s="83"/>
      <c r="L14" s="103"/>
      <c r="M14" s="81" t="s">
        <v>17</v>
      </c>
      <c r="N14" s="105"/>
      <c r="O14" s="103"/>
      <c r="P14" s="81" t="s">
        <v>17</v>
      </c>
      <c r="Q14" s="105"/>
      <c r="R14" s="84"/>
      <c r="S14" s="81" t="s">
        <v>17</v>
      </c>
      <c r="T14" s="85"/>
      <c r="U14"/>
    </row>
    <row r="15" spans="1:21" ht="18" customHeight="1">
      <c r="A15" s="77">
        <f t="shared" si="2"/>
        <v>14</v>
      </c>
      <c r="B15" s="78" t="s">
        <v>31</v>
      </c>
      <c r="C15" s="79"/>
      <c r="D15" s="80"/>
      <c r="E15" s="81" t="str">
        <f>IF(Anmeldung!G20=" / ",CONCATENATE("Gruppe C Team #",Anmeldung!A20),Anmeldung!G20)</f>
        <v>Team 1, Gruppe C</v>
      </c>
      <c r="F15" s="81" t="s">
        <v>12</v>
      </c>
      <c r="G15" s="81" t="str">
        <f>IF(Anmeldung!G22="/",CONCATENATE("Gruppe C Team #",Anmeldung!A22),Anmeldung!G22)</f>
        <v>Team 3, Gruppe C</v>
      </c>
      <c r="H15" s="82">
        <f t="shared" si="0"/>
      </c>
      <c r="I15" s="81" t="s">
        <v>17</v>
      </c>
      <c r="J15" s="81">
        <f t="shared" si="1"/>
      </c>
      <c r="K15" s="83"/>
      <c r="L15" s="103"/>
      <c r="M15" s="81" t="s">
        <v>17</v>
      </c>
      <c r="N15" s="105"/>
      <c r="O15" s="103"/>
      <c r="P15" s="81" t="s">
        <v>17</v>
      </c>
      <c r="Q15" s="105"/>
      <c r="R15" s="84"/>
      <c r="S15" s="81" t="s">
        <v>17</v>
      </c>
      <c r="T15" s="85"/>
      <c r="U15"/>
    </row>
    <row r="16" spans="1:21" ht="18" customHeight="1">
      <c r="A16" s="77">
        <f t="shared" si="2"/>
        <v>15</v>
      </c>
      <c r="B16" s="78" t="s">
        <v>30</v>
      </c>
      <c r="C16" s="79"/>
      <c r="D16" s="80"/>
      <c r="E16" s="81" t="str">
        <f>IF(Anmeldung!D20=" / ",CONCATENATE("Gruppe B Team #",Anmeldung!A20),Anmeldung!D20)</f>
        <v>Team 1, Gruppe B</v>
      </c>
      <c r="F16" s="81" t="s">
        <v>12</v>
      </c>
      <c r="G16" s="81" t="str">
        <f>IF(Anmeldung!D22="/",CONCATENATE("Gruppe B Team #",Anmeldung!A22),Anmeldung!D22)</f>
        <v>Team 3, Gruppe B</v>
      </c>
      <c r="H16" s="82">
        <f t="shared" si="0"/>
      </c>
      <c r="I16" s="81" t="s">
        <v>17</v>
      </c>
      <c r="J16" s="81">
        <f t="shared" si="1"/>
      </c>
      <c r="K16" s="83"/>
      <c r="L16" s="103"/>
      <c r="M16" s="81" t="s">
        <v>17</v>
      </c>
      <c r="N16" s="105"/>
      <c r="O16" s="103"/>
      <c r="P16" s="81" t="s">
        <v>17</v>
      </c>
      <c r="Q16" s="105"/>
      <c r="R16" s="84"/>
      <c r="S16" s="81" t="s">
        <v>17</v>
      </c>
      <c r="T16" s="85"/>
      <c r="U16"/>
    </row>
    <row r="17" spans="1:21" ht="18" customHeight="1">
      <c r="A17" s="77">
        <f t="shared" si="2"/>
        <v>16</v>
      </c>
      <c r="B17" s="78" t="s">
        <v>29</v>
      </c>
      <c r="C17" s="79"/>
      <c r="D17" s="80"/>
      <c r="E17" s="81" t="str">
        <f>IF(Anmeldung!B20=" / ",CONCATENATE("Gruppe A Team #",Anmeldung!A20),Anmeldung!B20)</f>
        <v>Team 1, Gruppe A</v>
      </c>
      <c r="F17" s="81" t="s">
        <v>12</v>
      </c>
      <c r="G17" s="81" t="str">
        <f>IF(Anmeldung!B22="/",CONCATENATE("Gruppe A Team #",Anmeldung!A22),Anmeldung!B22)</f>
        <v>Team 3, Gruppe A</v>
      </c>
      <c r="H17" s="82">
        <f t="shared" si="0"/>
      </c>
      <c r="I17" s="81" t="s">
        <v>17</v>
      </c>
      <c r="J17" s="81">
        <f t="shared" si="1"/>
      </c>
      <c r="K17" s="83"/>
      <c r="L17" s="103"/>
      <c r="M17" s="81" t="s">
        <v>17</v>
      </c>
      <c r="N17" s="105"/>
      <c r="O17" s="103"/>
      <c r="P17" s="81" t="s">
        <v>17</v>
      </c>
      <c r="Q17" s="105"/>
      <c r="R17" s="84"/>
      <c r="S17" s="81" t="s">
        <v>17</v>
      </c>
      <c r="T17" s="85"/>
      <c r="U17"/>
    </row>
    <row r="18" spans="1:21" ht="18" customHeight="1">
      <c r="A18" s="77">
        <f t="shared" si="2"/>
        <v>17</v>
      </c>
      <c r="B18" s="78" t="s">
        <v>32</v>
      </c>
      <c r="C18" s="79"/>
      <c r="D18" s="80"/>
      <c r="E18" s="81" t="str">
        <f>IF(Anmeldung!J22="/",CONCATENATE("Gruppe D Team #",Anmeldung!A22),Anmeldung!J22)</f>
        <v>Team 3, Gruppe D</v>
      </c>
      <c r="F18" s="81" t="s">
        <v>12</v>
      </c>
      <c r="G18" s="81" t="str">
        <f>IF(Anmeldung!J23="/",CONCATENATE("Gruppe D Team #",Anmeldung!A23),Anmeldung!J23)</f>
        <v>Team 4, Gruppe D</v>
      </c>
      <c r="H18" s="82">
        <f t="shared" si="0"/>
      </c>
      <c r="I18" s="81" t="s">
        <v>17</v>
      </c>
      <c r="J18" s="81">
        <f t="shared" si="1"/>
      </c>
      <c r="K18" s="83"/>
      <c r="L18" s="103"/>
      <c r="M18" s="81" t="s">
        <v>17</v>
      </c>
      <c r="N18" s="105"/>
      <c r="O18" s="103"/>
      <c r="P18" s="81" t="s">
        <v>17</v>
      </c>
      <c r="Q18" s="105"/>
      <c r="R18" s="84"/>
      <c r="S18" s="81" t="s">
        <v>17</v>
      </c>
      <c r="T18" s="85"/>
      <c r="U18"/>
    </row>
    <row r="19" spans="1:21" ht="18" customHeight="1">
      <c r="A19" s="77">
        <f t="shared" si="2"/>
        <v>18</v>
      </c>
      <c r="B19" s="78" t="s">
        <v>31</v>
      </c>
      <c r="C19" s="79"/>
      <c r="D19" s="80"/>
      <c r="E19" s="81" t="str">
        <f>IF(Anmeldung!G22="/",CONCATENATE("Gruppe C Team #",Anmeldung!A22),Anmeldung!G22)</f>
        <v>Team 3, Gruppe C</v>
      </c>
      <c r="F19" s="81" t="s">
        <v>12</v>
      </c>
      <c r="G19" s="81" t="str">
        <f>IF(Anmeldung!G23="/",CONCATENATE("Gruppe C Team #",Anmeldung!A23),Anmeldung!G23)</f>
        <v>Team 4, Gruppe C</v>
      </c>
      <c r="H19" s="82">
        <f t="shared" si="0"/>
      </c>
      <c r="I19" s="81" t="s">
        <v>17</v>
      </c>
      <c r="J19" s="81">
        <f t="shared" si="1"/>
      </c>
      <c r="K19" s="83"/>
      <c r="L19" s="103"/>
      <c r="M19" s="81" t="s">
        <v>17</v>
      </c>
      <c r="N19" s="105"/>
      <c r="O19" s="103"/>
      <c r="P19" s="81" t="s">
        <v>17</v>
      </c>
      <c r="Q19" s="105"/>
      <c r="R19" s="84"/>
      <c r="S19" s="81" t="s">
        <v>17</v>
      </c>
      <c r="T19" s="85"/>
      <c r="U19"/>
    </row>
    <row r="20" spans="1:21" ht="18" customHeight="1">
      <c r="A20" s="77">
        <f t="shared" si="2"/>
        <v>19</v>
      </c>
      <c r="B20" s="78" t="s">
        <v>30</v>
      </c>
      <c r="C20" s="79"/>
      <c r="D20" s="80"/>
      <c r="E20" s="81" t="str">
        <f>IF(Anmeldung!D22="/",CONCATENATE("Gruppe B Team #",Anmeldung!A22),Anmeldung!D22)</f>
        <v>Team 3, Gruppe B</v>
      </c>
      <c r="F20" s="81" t="s">
        <v>12</v>
      </c>
      <c r="G20" s="81" t="str">
        <f>IF(Anmeldung!D23="/",CONCATENATE("Gruppe B Team #",Anmeldung!A23),Anmeldung!D23)</f>
        <v>Team 4, Gruppe B</v>
      </c>
      <c r="H20" s="82">
        <f t="shared" si="0"/>
      </c>
      <c r="I20" s="81" t="s">
        <v>17</v>
      </c>
      <c r="J20" s="81">
        <f t="shared" si="1"/>
      </c>
      <c r="K20" s="83"/>
      <c r="L20" s="103"/>
      <c r="M20" s="81" t="s">
        <v>17</v>
      </c>
      <c r="N20" s="105"/>
      <c r="O20" s="103"/>
      <c r="P20" s="81" t="s">
        <v>17</v>
      </c>
      <c r="Q20" s="105"/>
      <c r="R20" s="84"/>
      <c r="S20" s="81" t="s">
        <v>17</v>
      </c>
      <c r="T20" s="85"/>
      <c r="U20"/>
    </row>
    <row r="21" spans="1:21" ht="18" customHeight="1">
      <c r="A21" s="77">
        <f t="shared" si="2"/>
        <v>20</v>
      </c>
      <c r="B21" s="78" t="s">
        <v>29</v>
      </c>
      <c r="C21" s="79"/>
      <c r="D21" s="80"/>
      <c r="E21" s="81" t="str">
        <f>IF(Anmeldung!B22="/",CONCATENATE("Gruppe A Team #",Anmeldung!A22),Anmeldung!B22)</f>
        <v>Team 3, Gruppe A</v>
      </c>
      <c r="F21" s="81" t="s">
        <v>12</v>
      </c>
      <c r="G21" s="81" t="str">
        <f>IF(Anmeldung!B23="/",CONCATENATE("Gruppe A Team #",Anmeldung!A23),Anmeldung!B23)</f>
        <v>Team 4, Gruppe A</v>
      </c>
      <c r="H21" s="82">
        <f t="shared" si="0"/>
      </c>
      <c r="I21" s="81" t="s">
        <v>17</v>
      </c>
      <c r="J21" s="81">
        <f t="shared" si="1"/>
      </c>
      <c r="K21" s="83"/>
      <c r="L21" s="103"/>
      <c r="M21" s="81" t="s">
        <v>17</v>
      </c>
      <c r="N21" s="105"/>
      <c r="O21" s="103"/>
      <c r="P21" s="81" t="s">
        <v>17</v>
      </c>
      <c r="Q21" s="105"/>
      <c r="R21" s="84"/>
      <c r="S21" s="81" t="s">
        <v>17</v>
      </c>
      <c r="T21" s="85"/>
      <c r="U21"/>
    </row>
    <row r="22" spans="1:21" ht="18" customHeight="1">
      <c r="A22" s="77">
        <f t="shared" si="2"/>
        <v>21</v>
      </c>
      <c r="B22" s="78" t="s">
        <v>32</v>
      </c>
      <c r="C22" s="79"/>
      <c r="D22" s="80"/>
      <c r="E22" s="81" t="str">
        <f>IF(Anmeldung!J20=" / ",CONCATENATE("Gruppe D Team #",Anmeldung!A20),Anmeldung!J20)</f>
        <v>Team 1, Gruppe D</v>
      </c>
      <c r="F22" s="81" t="s">
        <v>12</v>
      </c>
      <c r="G22" s="81" t="str">
        <f>IF(Anmeldung!J21="/",CONCATENATE("Gruppe D Team #",Anmeldung!A21),Anmeldung!J21)</f>
        <v>Team 2, Gruppe D</v>
      </c>
      <c r="H22" s="82">
        <f t="shared" si="0"/>
      </c>
      <c r="I22" s="81" t="s">
        <v>17</v>
      </c>
      <c r="J22" s="81">
        <f t="shared" si="1"/>
      </c>
      <c r="K22" s="83"/>
      <c r="L22" s="103"/>
      <c r="M22" s="81" t="s">
        <v>17</v>
      </c>
      <c r="N22" s="105"/>
      <c r="O22" s="103"/>
      <c r="P22" s="81" t="s">
        <v>17</v>
      </c>
      <c r="Q22" s="105"/>
      <c r="R22" s="84"/>
      <c r="S22" s="81" t="s">
        <v>17</v>
      </c>
      <c r="T22" s="85"/>
      <c r="U22"/>
    </row>
    <row r="23" spans="1:21" ht="18" customHeight="1">
      <c r="A23" s="77">
        <f t="shared" si="2"/>
        <v>22</v>
      </c>
      <c r="B23" s="78" t="s">
        <v>31</v>
      </c>
      <c r="C23" s="79"/>
      <c r="D23" s="80"/>
      <c r="E23" s="81" t="str">
        <f>IF(Anmeldung!G20=" / ",CONCATENATE("Gruppe C Team #",Anmeldung!A20),Anmeldung!G20)</f>
        <v>Team 1, Gruppe C</v>
      </c>
      <c r="F23" s="81" t="s">
        <v>12</v>
      </c>
      <c r="G23" s="81" t="str">
        <f>IF(Anmeldung!G21="/",CONCATENATE("Gruppe C Team #",Anmeldung!A21),Anmeldung!G21)</f>
        <v>Team 2, Gruppe C</v>
      </c>
      <c r="H23" s="82">
        <f t="shared" si="0"/>
      </c>
      <c r="I23" s="81" t="s">
        <v>17</v>
      </c>
      <c r="J23" s="81">
        <f t="shared" si="1"/>
      </c>
      <c r="K23" s="83"/>
      <c r="L23" s="103"/>
      <c r="M23" s="81" t="s">
        <v>17</v>
      </c>
      <c r="N23" s="105"/>
      <c r="O23" s="103"/>
      <c r="P23" s="81" t="s">
        <v>17</v>
      </c>
      <c r="Q23" s="105"/>
      <c r="R23" s="84"/>
      <c r="S23" s="81" t="s">
        <v>17</v>
      </c>
      <c r="T23" s="85"/>
      <c r="U23"/>
    </row>
    <row r="24" spans="1:21" ht="18" customHeight="1">
      <c r="A24" s="77">
        <f t="shared" si="2"/>
        <v>23</v>
      </c>
      <c r="B24" s="78" t="s">
        <v>30</v>
      </c>
      <c r="C24" s="79"/>
      <c r="D24" s="80"/>
      <c r="E24" s="81" t="str">
        <f>IF(Anmeldung!D20=" / ",CONCATENATE("Gruppe B Team #",Anmeldung!A20),Anmeldung!D20)</f>
        <v>Team 1, Gruppe B</v>
      </c>
      <c r="F24" s="81" t="s">
        <v>12</v>
      </c>
      <c r="G24" s="81" t="str">
        <f>IF(Anmeldung!D21="/",CONCATENATE("Gruppe B Team #",Anmeldung!A21),Anmeldung!D21)</f>
        <v>Team 2, Gruppe B</v>
      </c>
      <c r="H24" s="82">
        <f t="shared" si="0"/>
      </c>
      <c r="I24" s="81" t="s">
        <v>17</v>
      </c>
      <c r="J24" s="81">
        <f t="shared" si="1"/>
      </c>
      <c r="K24" s="83"/>
      <c r="L24" s="103"/>
      <c r="M24" s="81" t="s">
        <v>17</v>
      </c>
      <c r="N24" s="105"/>
      <c r="O24" s="103"/>
      <c r="P24" s="81" t="s">
        <v>17</v>
      </c>
      <c r="Q24" s="105"/>
      <c r="R24" s="84"/>
      <c r="S24" s="81" t="s">
        <v>17</v>
      </c>
      <c r="T24" s="85"/>
      <c r="U24"/>
    </row>
    <row r="25" spans="1:21" ht="18" customHeight="1">
      <c r="A25" s="77">
        <f t="shared" si="2"/>
        <v>24</v>
      </c>
      <c r="B25" s="78" t="s">
        <v>29</v>
      </c>
      <c r="C25" s="93"/>
      <c r="D25" s="80"/>
      <c r="E25" s="81" t="str">
        <f>IF(Anmeldung!B20=" / ",CONCATENATE("Gruppe A Team #",Anmeldung!A20),Anmeldung!B20)</f>
        <v>Team 1, Gruppe A</v>
      </c>
      <c r="F25" s="81" t="s">
        <v>12</v>
      </c>
      <c r="G25" s="89" t="str">
        <f>IF(Anmeldung!B21="/",CONCATENATE("Gruppe A Team #",Anmeldung!A21),Anmeldung!B21)</f>
        <v>Team 2, Gruppe A</v>
      </c>
      <c r="H25" s="82">
        <f t="shared" si="0"/>
      </c>
      <c r="I25" s="81" t="s">
        <v>17</v>
      </c>
      <c r="J25" s="81">
        <f t="shared" si="1"/>
      </c>
      <c r="K25" s="90"/>
      <c r="L25" s="104"/>
      <c r="M25" s="89" t="s">
        <v>17</v>
      </c>
      <c r="N25" s="106"/>
      <c r="O25" s="104"/>
      <c r="P25" s="89" t="s">
        <v>17</v>
      </c>
      <c r="Q25" s="106"/>
      <c r="R25" s="91"/>
      <c r="S25" s="89" t="s">
        <v>17</v>
      </c>
      <c r="T25" s="92"/>
      <c r="U25"/>
    </row>
  </sheetData>
  <sheetProtection formatCells="0" formatColumns="0" formatRows="0" selectLockedCells="1"/>
  <printOptions horizontalCentered="1" verticalCentered="1"/>
  <pageMargins left="0.7874015748031497" right="0.7874015748031497" top="0.9" bottom="0.44" header="0.4" footer="0.44"/>
  <pageSetup horizontalDpi="300" verticalDpi="300" orientation="landscape" paperSize="9" r:id="rId1"/>
  <headerFooter alignWithMargins="0">
    <oddHeader>&amp;CCOOP Junior Beach Tour
Gruppenspiele 16 Teams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A24" sqref="A24"/>
    </sheetView>
  </sheetViews>
  <sheetFormatPr defaultColWidth="11.421875" defaultRowHeight="12.75"/>
  <cols>
    <col min="1" max="1" width="16.8515625" style="23" customWidth="1"/>
    <col min="2" max="2" width="3.7109375" style="24" customWidth="1"/>
    <col min="3" max="3" width="1.57421875" style="24" bestFit="1" customWidth="1"/>
    <col min="4" max="4" width="3.7109375" style="24" customWidth="1"/>
    <col min="5" max="5" width="4.28125" style="24" customWidth="1"/>
    <col min="6" max="6" width="4.7109375" style="24" customWidth="1"/>
    <col min="7" max="7" width="1.57421875" style="24" bestFit="1" customWidth="1"/>
    <col min="8" max="8" width="4.7109375" style="24" customWidth="1"/>
    <col min="9" max="9" width="9.57421875" style="24" customWidth="1"/>
    <col min="10" max="10" width="4.7109375" style="24" customWidth="1"/>
    <col min="11" max="11" width="9.00390625" style="49" hidden="1" customWidth="1"/>
    <col min="12" max="12" width="5.8515625" style="23" customWidth="1"/>
    <col min="13" max="13" width="3.00390625" style="2" customWidth="1"/>
    <col min="14" max="14" width="27.57421875" style="0" customWidth="1"/>
    <col min="15" max="15" width="3.7109375" style="0" customWidth="1"/>
    <col min="16" max="16384" width="11.421875" style="23" customWidth="1"/>
  </cols>
  <sheetData>
    <row r="1" spans="1:14" ht="25.5" thickBot="1" thickTop="1">
      <c r="A1" s="20" t="s">
        <v>24</v>
      </c>
      <c r="B1" s="141" t="s">
        <v>33</v>
      </c>
      <c r="C1" s="140"/>
      <c r="D1" s="142"/>
      <c r="E1" s="46" t="s">
        <v>35</v>
      </c>
      <c r="F1" s="140" t="s">
        <v>36</v>
      </c>
      <c r="G1" s="140"/>
      <c r="H1" s="140"/>
      <c r="I1" s="16" t="s">
        <v>37</v>
      </c>
      <c r="J1" s="98" t="s">
        <v>38</v>
      </c>
      <c r="K1" s="53" t="s">
        <v>21</v>
      </c>
      <c r="L1" s="33"/>
      <c r="M1" s="11" t="s">
        <v>0</v>
      </c>
      <c r="N1" s="9" t="s">
        <v>5</v>
      </c>
    </row>
    <row r="2" spans="1:15" ht="13.5" thickTop="1">
      <c r="A2" s="19" t="str">
        <f>Anmeldung!B20</f>
        <v>Team 1, Gruppe A</v>
      </c>
      <c r="B2" s="17">
        <f>SUM(Vorrunde!H25,Vorrunde!H17,Vorrunde!H9)</f>
        <v>0</v>
      </c>
      <c r="C2" s="24" t="s">
        <v>34</v>
      </c>
      <c r="D2" s="29">
        <f>SUM(Vorrunde!J25,Vorrunde!J17,Vorrunde!J9)</f>
        <v>0</v>
      </c>
      <c r="E2" s="44">
        <f>SUM(B2-D2)</f>
        <v>0</v>
      </c>
      <c r="F2" s="24">
        <f>SUM(Vorrunde!L25,Vorrunde!O25,Vorrunde!R25,Vorrunde!L17,Vorrunde!O17,Vorrunde!R17,Vorrunde!L9,Vorrunde!O9,Vorrunde!R9)</f>
        <v>0</v>
      </c>
      <c r="G2" s="24" t="s">
        <v>34</v>
      </c>
      <c r="H2" s="24">
        <f>SUM(Vorrunde!N25,Vorrunde!Q25,Vorrunde!T25,Vorrunde!N17,Vorrunde!Q17,Vorrunde!T17,Vorrunde!N9,Vorrunde!Q9,Vorrunde!T9)</f>
        <v>0</v>
      </c>
      <c r="I2" s="41" t="str">
        <f>IF((H2=0),"Quotient",F2/H2)</f>
        <v>Quotient</v>
      </c>
      <c r="J2" s="34">
        <f>RANK(E2,$E$2:$E$5)</f>
        <v>1</v>
      </c>
      <c r="K2" s="54" t="str">
        <f>A2</f>
        <v>Team 1, Gruppe A</v>
      </c>
      <c r="L2" s="33"/>
      <c r="M2" s="31">
        <v>1</v>
      </c>
      <c r="N2" s="4" t="str">
        <f>IF(B2+B3+B4+B5=0,"Team 1, Gruppe A",VLOOKUP(1,J2:K5,2,FALSE))</f>
        <v>Team 1, Gruppe A</v>
      </c>
      <c r="O2" s="8" t="s">
        <v>39</v>
      </c>
    </row>
    <row r="3" spans="1:15" ht="12.75">
      <c r="A3" s="19" t="str">
        <f>Anmeldung!B21</f>
        <v>Team 2, Gruppe A</v>
      </c>
      <c r="B3" s="17">
        <f>SUM(Vorrunde!J25,Vorrunde!H13,Vorrunde!H5)</f>
        <v>0</v>
      </c>
      <c r="C3" s="24" t="s">
        <v>34</v>
      </c>
      <c r="D3" s="29">
        <f>SUM(Vorrunde!H25,Vorrunde!J13,Vorrunde!J5)</f>
        <v>0</v>
      </c>
      <c r="E3" s="44">
        <f>SUM(B3-D3)</f>
        <v>0</v>
      </c>
      <c r="F3" s="24">
        <f>SUM(Vorrunde!N25,Vorrunde!Q25,Vorrunde!T25,Vorrunde!L13,Vorrunde!O13,Vorrunde!R13,Vorrunde!L5,Vorrunde!O5,Vorrunde!R5)</f>
        <v>0</v>
      </c>
      <c r="G3" s="24" t="s">
        <v>34</v>
      </c>
      <c r="H3" s="24">
        <f>SUM(Vorrunde!L25,Vorrunde!O25,Vorrunde!R25,Vorrunde!N13,Vorrunde!Q13,Vorrunde!T13,Vorrunde!N5,Vorrunde!Q5,Vorrunde!T5)</f>
        <v>0</v>
      </c>
      <c r="I3" s="41" t="str">
        <f>IF((H3=0),"Quotient",F3/H3)</f>
        <v>Quotient</v>
      </c>
      <c r="J3" s="34">
        <f>RANK(E3,$E$2:$E$5)</f>
        <v>1</v>
      </c>
      <c r="K3" s="54" t="str">
        <f>A3</f>
        <v>Team 2, Gruppe A</v>
      </c>
      <c r="L3" s="33"/>
      <c r="M3" s="32">
        <v>2</v>
      </c>
      <c r="N3" s="5" t="str">
        <f>IF(B7+B8+B9+B10=0,"Team 1, Gruppe B",VLOOKUP(1,J7:K10,2,FALSE))</f>
        <v>Team 1, Gruppe B</v>
      </c>
      <c r="O3" s="8" t="s">
        <v>40</v>
      </c>
    </row>
    <row r="4" spans="1:15" ht="12.75">
      <c r="A4" s="19" t="str">
        <f>Anmeldung!B22</f>
        <v>Team 3, Gruppe A</v>
      </c>
      <c r="B4" s="17">
        <f>SUM(Vorrunde!H21,Vorrunde!J17,Vorrunde!J5)</f>
        <v>0</v>
      </c>
      <c r="C4" s="24" t="s">
        <v>34</v>
      </c>
      <c r="D4" s="29">
        <f>SUM(Vorrunde!J21,Vorrunde!H17,Vorrunde!H5)</f>
        <v>0</v>
      </c>
      <c r="E4" s="44">
        <f>SUM(B4-D4)</f>
        <v>0</v>
      </c>
      <c r="F4" s="24">
        <f>SUM(Vorrunde!L21,Vorrunde!O21,,Vorrunde!R21,Vorrunde!N17,Vorrunde!Q17,Vorrunde!T17,Vorrunde!N5,Vorrunde!Q5,Vorrunde!T5)</f>
        <v>0</v>
      </c>
      <c r="G4" s="24" t="s">
        <v>34</v>
      </c>
      <c r="H4" s="24">
        <f>SUM(Vorrunde!N21,Vorrunde!Q21,,Vorrunde!T21,Vorrunde!L17,Vorrunde!O17,Vorrunde!R17,Vorrunde!L5,Vorrunde!O5,Vorrunde!R5)</f>
        <v>0</v>
      </c>
      <c r="I4" s="41" t="str">
        <f>IF((H4=0),"Quotient",F4/H4)</f>
        <v>Quotient</v>
      </c>
      <c r="J4" s="34">
        <f>RANK(E4,$E$2:$E$5)</f>
        <v>1</v>
      </c>
      <c r="K4" s="54" t="str">
        <f>A4</f>
        <v>Team 3, Gruppe A</v>
      </c>
      <c r="L4" s="33"/>
      <c r="M4" s="32">
        <v>3</v>
      </c>
      <c r="N4" s="5" t="str">
        <f>IF(B12+B13+B14+B15=0,"Team 1, Gruppe C",VLOOKUP(1,J12:K15,2,FALSE))</f>
        <v>Team 1, Gruppe C</v>
      </c>
      <c r="O4" s="8" t="s">
        <v>41</v>
      </c>
    </row>
    <row r="5" spans="1:15" ht="12.75">
      <c r="A5" s="21" t="str">
        <f>Anmeldung!B23</f>
        <v>Team 4, Gruppe A</v>
      </c>
      <c r="B5" s="18">
        <f>SUM(Vorrunde!J21,Vorrunde!J13,Vorrunde!J9)</f>
        <v>0</v>
      </c>
      <c r="C5" s="26" t="s">
        <v>34</v>
      </c>
      <c r="D5" s="30">
        <f>SUM(Vorrunde!H21,Vorrunde!H13,Vorrunde!H9)</f>
        <v>0</v>
      </c>
      <c r="E5" s="45">
        <f>SUM(B5-D5)</f>
        <v>0</v>
      </c>
      <c r="F5" s="26">
        <f>SUM(Vorrunde!N21,Vorrunde!Q21,Vorrunde!T21,Vorrunde!N13,Vorrunde!Q13,Vorrunde!T13,Vorrunde!N9,Vorrunde!Q9,Vorrunde!T9)</f>
        <v>0</v>
      </c>
      <c r="G5" s="26" t="s">
        <v>34</v>
      </c>
      <c r="H5" s="26">
        <f>SUM(Vorrunde!L21,Vorrunde!O21,Vorrunde!R21,Vorrunde!L13,Vorrunde!O13,Vorrunde!R13,Vorrunde!L9,Vorrunde!O9,Vorrunde!R9)</f>
        <v>0</v>
      </c>
      <c r="I5" s="42" t="str">
        <f>IF((H5=0),"Quotient",F5/H5)</f>
        <v>Quotient</v>
      </c>
      <c r="J5" s="35">
        <f>RANK(E5,$E$2:$E$5)</f>
        <v>1</v>
      </c>
      <c r="K5" s="55" t="str">
        <f>A5</f>
        <v>Team 4, Gruppe A</v>
      </c>
      <c r="L5" s="33"/>
      <c r="M5" s="32">
        <v>4</v>
      </c>
      <c r="N5" s="5" t="str">
        <f>IF(B17+B18+B19+B20=0,"Team 1, Gruppe D",VLOOKUP(1,J17:K20,2,FALSE))</f>
        <v>Team 1, Gruppe D</v>
      </c>
      <c r="O5" s="8" t="s">
        <v>42</v>
      </c>
    </row>
    <row r="6" spans="1:15" ht="12.75">
      <c r="A6" s="20" t="s">
        <v>27</v>
      </c>
      <c r="B6" s="16"/>
      <c r="C6" s="27"/>
      <c r="D6" s="97"/>
      <c r="E6" s="46"/>
      <c r="F6" s="25"/>
      <c r="G6" s="27"/>
      <c r="H6" s="25"/>
      <c r="I6" s="43"/>
      <c r="J6" s="96"/>
      <c r="K6" s="54"/>
      <c r="L6" s="33"/>
      <c r="M6" s="32">
        <v>5</v>
      </c>
      <c r="N6" s="5" t="str">
        <f>IF(B17+B18+B19+B20=0,"Team 2, Gruppe D",VLOOKUP(2,J17:K20,2,FALSE))</f>
        <v>Team 2, Gruppe D</v>
      </c>
      <c r="O6" s="8" t="s">
        <v>46</v>
      </c>
    </row>
    <row r="7" spans="1:15" ht="12.75">
      <c r="A7" s="19" t="str">
        <f>Anmeldung!D20</f>
        <v>Team 1, Gruppe B</v>
      </c>
      <c r="B7" s="17">
        <f>SUM(Vorrunde!H24,Vorrunde!H16,Vorrunde!H8)</f>
        <v>0</v>
      </c>
      <c r="C7" s="24" t="s">
        <v>34</v>
      </c>
      <c r="D7" s="29">
        <f>SUM(Vorrunde!J24,Vorrunde!J16,Vorrunde!J8)</f>
        <v>0</v>
      </c>
      <c r="E7" s="44">
        <f>SUM(B7-D7)</f>
        <v>0</v>
      </c>
      <c r="F7" s="24">
        <f>SUM(Vorrunde!L24,Vorrunde!O24,Vorrunde!R24,Vorrunde!L16,Vorrunde!O16,Vorrunde!R16,Vorrunde!L8,Vorrunde!O8,Vorrunde!R8)</f>
        <v>0</v>
      </c>
      <c r="G7" s="24" t="s">
        <v>34</v>
      </c>
      <c r="H7" s="24">
        <f>SUM(Vorrunde!N24,Vorrunde!Q24,Vorrunde!T24,Vorrunde!N16,Vorrunde!Q16,Vorrunde!T16,Vorrunde!N8,Vorrunde!Q8,Vorrunde!T8)</f>
        <v>0</v>
      </c>
      <c r="I7" s="41" t="str">
        <f>IF((H7=0),"Quotient",F7/H7)</f>
        <v>Quotient</v>
      </c>
      <c r="J7" s="34">
        <f>RANK(E7,$E$7:$E$10)</f>
        <v>1</v>
      </c>
      <c r="K7" s="54" t="str">
        <f>A7</f>
        <v>Team 1, Gruppe B</v>
      </c>
      <c r="L7" s="33"/>
      <c r="M7" s="32">
        <v>6</v>
      </c>
      <c r="N7" s="5" t="str">
        <f>IF(B12+B13+B14+B15=0,"Team 2, Gruppe C",VLOOKUP(2,J12:K15,2,FALSE))</f>
        <v>Team 2, Gruppe C</v>
      </c>
      <c r="O7" s="8" t="s">
        <v>45</v>
      </c>
    </row>
    <row r="8" spans="1:15" ht="12.75">
      <c r="A8" s="19" t="str">
        <f>Anmeldung!D21</f>
        <v>Team 2, Gruppe B</v>
      </c>
      <c r="B8" s="17">
        <f>SUM(Vorrunde!J24,Vorrunde!H12,Vorrunde!H4)</f>
        <v>0</v>
      </c>
      <c r="C8" s="24" t="s">
        <v>34</v>
      </c>
      <c r="D8" s="29">
        <f>SUM(Vorrunde!H24,Vorrunde!J12,Vorrunde!J4)</f>
        <v>0</v>
      </c>
      <c r="E8" s="44">
        <f>SUM(B8-D8)</f>
        <v>0</v>
      </c>
      <c r="F8" s="24">
        <f>SUM(Vorrunde!N24,Vorrunde!Q24,Vorrunde!T24,Vorrunde!L12,Vorrunde!O12,Vorrunde!R12,Vorrunde!L4,Vorrunde!O4,Vorrunde!R4)</f>
        <v>0</v>
      </c>
      <c r="G8" s="24" t="s">
        <v>34</v>
      </c>
      <c r="H8" s="24">
        <f>SUM(Vorrunde!L24,Vorrunde!O24,Vorrunde!R24,Vorrunde!N12,Vorrunde!Q12,Vorrunde!T12,Vorrunde!N4,Vorrunde!Q4,Vorrunde!T4)</f>
        <v>0</v>
      </c>
      <c r="I8" s="41" t="str">
        <f>IF((H8=0),"Quotient",F8/H8)</f>
        <v>Quotient</v>
      </c>
      <c r="J8" s="34">
        <f>RANK(E8,$E$7:$E$10)</f>
        <v>1</v>
      </c>
      <c r="K8" s="54" t="str">
        <f>A8</f>
        <v>Team 2, Gruppe B</v>
      </c>
      <c r="L8" s="33"/>
      <c r="M8" s="32">
        <v>7</v>
      </c>
      <c r="N8" s="5" t="str">
        <f>IF(B7+B8+B9+B10=0,"Team 2, Gruppe B",VLOOKUP(2,J7:K10,2,FALSE))</f>
        <v>Team 2, Gruppe B</v>
      </c>
      <c r="O8" s="8" t="s">
        <v>43</v>
      </c>
    </row>
    <row r="9" spans="1:15" ht="12.75">
      <c r="A9" s="19" t="str">
        <f>Anmeldung!D22</f>
        <v>Team 3, Gruppe B</v>
      </c>
      <c r="B9" s="17">
        <f>SUM(Vorrunde!H20,Vorrunde!J16,Vorrunde!J4)</f>
        <v>0</v>
      </c>
      <c r="C9" s="24" t="s">
        <v>34</v>
      </c>
      <c r="D9" s="29">
        <f>SUM(Vorrunde!J20,Vorrunde!H16,Vorrunde!H4)</f>
        <v>0</v>
      </c>
      <c r="E9" s="44">
        <f>SUM(B9-D9)</f>
        <v>0</v>
      </c>
      <c r="F9" s="24">
        <f>SUM(Vorrunde!L20,Vorrunde!O20,Vorrunde!R20,Vorrunde!N16,Vorrunde!Q16,Vorrunde!T16,Vorrunde!N4,Vorrunde!Q4,Vorrunde!T4)</f>
        <v>0</v>
      </c>
      <c r="G9" s="24" t="s">
        <v>34</v>
      </c>
      <c r="H9" s="24">
        <f>SUM(Vorrunde!N20,Vorrunde!Q20,Vorrunde!T20,Vorrunde!L16,Vorrunde!O16,Vorrunde!R16,Vorrunde!L4,Vorrunde!O4,Vorrunde!R4)</f>
        <v>0</v>
      </c>
      <c r="I9" s="41" t="str">
        <f>IF((H9=0),"Quotient",F9/H9)</f>
        <v>Quotient</v>
      </c>
      <c r="J9" s="34">
        <f>RANK(E9,$E$7:$E$10)</f>
        <v>1</v>
      </c>
      <c r="K9" s="54" t="str">
        <f>A9</f>
        <v>Team 3, Gruppe B</v>
      </c>
      <c r="L9" s="33"/>
      <c r="M9" s="32">
        <v>8</v>
      </c>
      <c r="N9" s="5" t="str">
        <f>IF(B2+B3+B4+B5=0,"Team 2, Gruppe A",VLOOKUP(2,J2:K5,2,FALSE))</f>
        <v>Team 2, Gruppe A</v>
      </c>
      <c r="O9" s="8" t="s">
        <v>44</v>
      </c>
    </row>
    <row r="10" spans="1:15" ht="12.75">
      <c r="A10" s="21" t="str">
        <f>Anmeldung!D23</f>
        <v>Team 4, Gruppe B</v>
      </c>
      <c r="B10" s="18">
        <f>SUM(Vorrunde!J20,Vorrunde!J12,Vorrunde!J8)</f>
        <v>0</v>
      </c>
      <c r="C10" s="26" t="s">
        <v>34</v>
      </c>
      <c r="D10" s="30">
        <f>SUM(Vorrunde!H20,Vorrunde!H12,Vorrunde!H8)</f>
        <v>0</v>
      </c>
      <c r="E10" s="45">
        <f>SUM(B10-D10)</f>
        <v>0</v>
      </c>
      <c r="F10" s="26">
        <f>SUM(Vorrunde!N20,Vorrunde!Q20,Vorrunde!T20,Vorrunde!N12,Vorrunde!Q12,Vorrunde!T12,Vorrunde!N8,Vorrunde!Q8,Vorrunde!T8)</f>
        <v>0</v>
      </c>
      <c r="G10" s="26" t="s">
        <v>34</v>
      </c>
      <c r="H10" s="26">
        <f>SUM(Vorrunde!L20,Vorrunde!O20,Vorrunde!R20,Vorrunde!L12,Vorrunde!O12,Vorrunde!R12,Vorrunde!L8,Vorrunde!O8,Vorrunde!R8)</f>
        <v>0</v>
      </c>
      <c r="I10" s="42" t="str">
        <f>IF((H10=0),"Quotient",F10/H10)</f>
        <v>Quotient</v>
      </c>
      <c r="J10" s="35">
        <f>RANK(E10,$E$7:$E$10)</f>
        <v>1</v>
      </c>
      <c r="K10" s="55" t="str">
        <f>A10</f>
        <v>Team 4, Gruppe B</v>
      </c>
      <c r="M10" s="6">
        <v>9</v>
      </c>
      <c r="N10" s="5" t="str">
        <f>IF(B2+B3+B4+B5=0,"Team 3, Gruppe A",VLOOKUP(3,J2:K5,2,FALSE))</f>
        <v>Team 3, Gruppe A</v>
      </c>
      <c r="O10" s="8" t="s">
        <v>48</v>
      </c>
    </row>
    <row r="11" spans="1:15" ht="12.75">
      <c r="A11" s="20" t="s">
        <v>26</v>
      </c>
      <c r="B11" s="16"/>
      <c r="C11" s="25"/>
      <c r="D11" s="28"/>
      <c r="E11" s="46"/>
      <c r="F11" s="25"/>
      <c r="G11" s="25"/>
      <c r="H11" s="28"/>
      <c r="I11" s="43"/>
      <c r="J11" s="96"/>
      <c r="K11" s="54"/>
      <c r="M11" s="6">
        <v>10</v>
      </c>
      <c r="N11" s="5" t="str">
        <f>IF(B7+B8+B9+B10=0,"Team 3, Gruppe B",VLOOKUP(3,J7:K10,2,FALSE))</f>
        <v>Team 3, Gruppe B</v>
      </c>
      <c r="O11" s="8" t="s">
        <v>49</v>
      </c>
    </row>
    <row r="12" spans="1:15" ht="12.75">
      <c r="A12" s="19" t="str">
        <f>Anmeldung!G20</f>
        <v>Team 1, Gruppe C</v>
      </c>
      <c r="B12" s="17">
        <f>SUM(Vorrunde!H23,Vorrunde!H15,Vorrunde!H7)</f>
        <v>0</v>
      </c>
      <c r="C12" s="24" t="s">
        <v>34</v>
      </c>
      <c r="D12" s="29">
        <f>SUM(Vorrunde!J23,Vorrunde!J15,Vorrunde!J7)</f>
        <v>0</v>
      </c>
      <c r="E12" s="44">
        <f>SUM(B12-D12)</f>
        <v>0</v>
      </c>
      <c r="F12" s="24">
        <f>SUM(Vorrunde!L23,Vorrunde!O23,Vorrunde!R23,Vorrunde!L15,Vorrunde!O15,Vorrunde!R15,Vorrunde!L7,Vorrunde!O7,Vorrunde!R7)</f>
        <v>0</v>
      </c>
      <c r="G12" s="24" t="s">
        <v>34</v>
      </c>
      <c r="H12" s="24">
        <f>SUM(Vorrunde!N23,Vorrunde!Q23,Vorrunde!T23,Vorrunde!N15,Vorrunde!Q15,Vorrunde!T15,Vorrunde!N7,Vorrunde!Q7,Vorrunde!T7)</f>
        <v>0</v>
      </c>
      <c r="I12" s="41" t="str">
        <f>IF((H12=0),"Quotient",F12/H12)</f>
        <v>Quotient</v>
      </c>
      <c r="J12" s="34">
        <f>RANK(E12,$E$12:$E$15)</f>
        <v>1</v>
      </c>
      <c r="K12" s="54" t="str">
        <f>A12</f>
        <v>Team 1, Gruppe C</v>
      </c>
      <c r="M12" s="6">
        <v>11</v>
      </c>
      <c r="N12" s="5" t="str">
        <f>IF(B12+B13+B14+B15=0,"Team 3, Gruppe C",VLOOKUP(3,J12:K15,2,FALSE))</f>
        <v>Team 3, Gruppe C</v>
      </c>
      <c r="O12" s="8" t="s">
        <v>50</v>
      </c>
    </row>
    <row r="13" spans="1:15" ht="12.75">
      <c r="A13" s="19" t="str">
        <f>Anmeldung!G21</f>
        <v>Team 2, Gruppe C</v>
      </c>
      <c r="B13" s="17">
        <f>SUM(Vorrunde!J23,Vorrunde!H11,Vorrunde!H3)</f>
        <v>0</v>
      </c>
      <c r="C13" s="24" t="s">
        <v>34</v>
      </c>
      <c r="D13" s="29">
        <f>SUM(Vorrunde!H23,Vorrunde!J11,Vorrunde!J3)</f>
        <v>0</v>
      </c>
      <c r="E13" s="44">
        <f>SUM(B13-D13)</f>
        <v>0</v>
      </c>
      <c r="F13" s="24">
        <f>SUM(Vorrunde!N23,Vorrunde!Q23,Vorrunde!T23,Vorrunde!L11,Vorrunde!O11,Vorrunde!R11,Vorrunde!L3,Vorrunde!O3,Vorrunde!R3)</f>
        <v>0</v>
      </c>
      <c r="G13" s="24" t="s">
        <v>34</v>
      </c>
      <c r="H13" s="24">
        <f>SUM(Vorrunde!L23,Vorrunde!O23,Vorrunde!R23,Vorrunde!N11,Vorrunde!Q11,Vorrunde!T11,Vorrunde!N3,Vorrunde!Q3,Vorrunde!T3)</f>
        <v>0</v>
      </c>
      <c r="I13" s="41" t="str">
        <f>IF((H13=0),"Quotient",F13/H13)</f>
        <v>Quotient</v>
      </c>
      <c r="J13" s="34">
        <f>RANK(E13,$E$12:$E$15)</f>
        <v>1</v>
      </c>
      <c r="K13" s="54" t="str">
        <f>A13</f>
        <v>Team 2, Gruppe C</v>
      </c>
      <c r="M13" s="6">
        <v>12</v>
      </c>
      <c r="N13" s="5" t="str">
        <f>IF(B17+B18+B19+B20=0,"Team 3, Gruppe D",VLOOKUP(3,J17:K20,2,FALSE))</f>
        <v>Team 3, Gruppe D</v>
      </c>
      <c r="O13" s="8" t="s">
        <v>51</v>
      </c>
    </row>
    <row r="14" spans="1:11" ht="12.75">
      <c r="A14" s="19" t="str">
        <f>Anmeldung!G22</f>
        <v>Team 3, Gruppe C</v>
      </c>
      <c r="B14" s="17">
        <f>SUM(Vorrunde!H19,Vorrunde!J15,Vorrunde!J3)</f>
        <v>0</v>
      </c>
      <c r="C14" s="24" t="s">
        <v>34</v>
      </c>
      <c r="D14" s="29">
        <f>SUM(Vorrunde!J19,Vorrunde!H15,Vorrunde!H3)</f>
        <v>0</v>
      </c>
      <c r="E14" s="44">
        <f>SUM(B14-D14)</f>
        <v>0</v>
      </c>
      <c r="F14" s="24">
        <f>SUM(Vorrunde!L19,Vorrunde!O19,Vorrunde!R19,Vorrunde!N15,Vorrunde!Q15,Vorrunde!T15,Vorrunde!N3,Vorrunde!Q3,Vorrunde!T3)</f>
        <v>0</v>
      </c>
      <c r="G14" s="24" t="s">
        <v>34</v>
      </c>
      <c r="H14" s="24">
        <f>SUM(Vorrunde!N19,Vorrunde!Q19,Vorrunde!T19,Vorrunde!L15,Vorrunde!O15,Vorrunde!R15,Vorrunde!L3,Vorrunde!O3,Vorrunde!R3)</f>
        <v>0</v>
      </c>
      <c r="I14" s="41" t="str">
        <f>IF((H14=0),"Quotient",F14/H14)</f>
        <v>Quotient</v>
      </c>
      <c r="J14" s="34">
        <f>RANK(E14,$E$12:$E$15)</f>
        <v>1</v>
      </c>
      <c r="K14" s="55" t="str">
        <f>A14</f>
        <v>Team 3, Gruppe C</v>
      </c>
    </row>
    <row r="15" spans="1:13" ht="12.75">
      <c r="A15" s="21" t="str">
        <f>Anmeldung!G23</f>
        <v>Team 4, Gruppe C</v>
      </c>
      <c r="B15" s="18">
        <f>SUM(Vorrunde!J19,Vorrunde!J11,Vorrunde!J7)</f>
        <v>0</v>
      </c>
      <c r="C15" s="26" t="s">
        <v>34</v>
      </c>
      <c r="D15" s="30">
        <f>SUM(Vorrunde!H19,Vorrunde!H11,Vorrunde!H7)</f>
        <v>0</v>
      </c>
      <c r="E15" s="45">
        <f>SUM(B15-D15)</f>
        <v>0</v>
      </c>
      <c r="F15" s="26">
        <f>SUM(Vorrunde!N19,Vorrunde!Q19,Vorrunde!T19,Vorrunde!N11,Vorrunde!Q11,Vorrunde!T11,Vorrunde!N7,Vorrunde!Q7,Vorrunde!T7)</f>
        <v>0</v>
      </c>
      <c r="G15" s="26" t="s">
        <v>34</v>
      </c>
      <c r="H15" s="26">
        <f>SUM(Vorrunde!L19,Vorrunde!O19,Vorrunde!R19,Vorrunde!L11,Vorrunde!O11,Vorrunde!R11,Vorrunde!L7,Vorrunde!O7,Vorrunde!R7)</f>
        <v>0</v>
      </c>
      <c r="I15" s="42" t="str">
        <f>IF((H15=0),"Quotient",F15/H15)</f>
        <v>Quotient</v>
      </c>
      <c r="J15" s="35">
        <f>RANK(E15,$E$12:$E$15)</f>
        <v>1</v>
      </c>
      <c r="K15" s="55" t="str">
        <f>A15</f>
        <v>Team 4, Gruppe C</v>
      </c>
      <c r="M15" s="51" t="s">
        <v>38</v>
      </c>
    </row>
    <row r="16" spans="1:15" ht="12.75">
      <c r="A16" s="20" t="s">
        <v>25</v>
      </c>
      <c r="B16" s="16"/>
      <c r="C16" s="27"/>
      <c r="D16" s="28"/>
      <c r="E16" s="46"/>
      <c r="F16" s="25"/>
      <c r="G16" s="27"/>
      <c r="H16" s="25"/>
      <c r="I16" s="43"/>
      <c r="J16" s="96"/>
      <c r="K16" s="54"/>
      <c r="M16" s="6">
        <v>13</v>
      </c>
      <c r="N16" s="5" t="str">
        <f>IF(B7+B8+B9+B10=0,"Team 4, Gruppe B",VLOOKUP(4,J7:K10,2,FALSE))</f>
        <v>Team 4, Gruppe B</v>
      </c>
      <c r="O16" s="8" t="s">
        <v>53</v>
      </c>
    </row>
    <row r="17" spans="1:15" ht="12.75">
      <c r="A17" s="19" t="str">
        <f>Anmeldung!J20</f>
        <v>Team 1, Gruppe D</v>
      </c>
      <c r="B17" s="17">
        <f>SUM(Vorrunde!H22,Vorrunde!H14,Vorrunde!H6)</f>
        <v>0</v>
      </c>
      <c r="C17" s="24" t="s">
        <v>34</v>
      </c>
      <c r="D17" s="29">
        <f>SUM(Vorrunde!J22,Vorrunde!J14,Vorrunde!J6)</f>
        <v>0</v>
      </c>
      <c r="E17" s="44">
        <f>SUM(B17-D17)</f>
        <v>0</v>
      </c>
      <c r="F17" s="24">
        <f>SUM(Vorrunde!L22,Vorrunde!O22,Vorrunde!R22,Vorrunde!L14,Vorrunde!O14,Vorrunde!R14,Vorrunde!L6,Vorrunde!O6,Vorrunde!R6)</f>
        <v>0</v>
      </c>
      <c r="G17" s="24" t="s">
        <v>34</v>
      </c>
      <c r="H17" s="24">
        <f>SUM(Vorrunde!N22,Vorrunde!Q22,Vorrunde!T22,Vorrunde!N14,Vorrunde!Q14,Vorrunde!T14,Vorrunde!N6,Vorrunde!Q6,Vorrunde!T6)</f>
        <v>0</v>
      </c>
      <c r="I17" s="41" t="str">
        <f>IF((H17=0),"Quotient",F17/H17)</f>
        <v>Quotient</v>
      </c>
      <c r="J17" s="34">
        <f>RANK(E17,$E$17:$E$20)</f>
        <v>1</v>
      </c>
      <c r="K17" s="54" t="str">
        <f>A17</f>
        <v>Team 1, Gruppe D</v>
      </c>
      <c r="M17" s="6">
        <v>13</v>
      </c>
      <c r="N17" s="5" t="str">
        <f>IF(B2+B3+B4+B5=0,"Team 4, Gruppe A",VLOOKUP(4,J2:K5,2,FALSE))</f>
        <v>Team 4, Gruppe A</v>
      </c>
      <c r="O17" s="8" t="s">
        <v>54</v>
      </c>
    </row>
    <row r="18" spans="1:15" ht="12.75">
      <c r="A18" s="19" t="str">
        <f>Anmeldung!J21</f>
        <v>Team 2, Gruppe D</v>
      </c>
      <c r="B18" s="17">
        <f>SUM(Vorrunde!J22,Vorrunde!H10,Vorrunde!H2)</f>
        <v>0</v>
      </c>
      <c r="C18" s="24" t="s">
        <v>34</v>
      </c>
      <c r="D18" s="29">
        <f>SUM(Vorrunde!H22,Vorrunde!J10,Vorrunde!J2)</f>
        <v>0</v>
      </c>
      <c r="E18" s="44">
        <f>SUM(B18-D18)</f>
        <v>0</v>
      </c>
      <c r="F18" s="24">
        <f>SUM(Vorrunde!N22,Vorrunde!Q22,Vorrunde!T22,Vorrunde!L10,Vorrunde!O10,Vorrunde!R10,Vorrunde!L2,Vorrunde!O2,Vorrunde!R2)</f>
        <v>0</v>
      </c>
      <c r="G18" s="24" t="s">
        <v>34</v>
      </c>
      <c r="H18" s="24">
        <f>SUM(Vorrunde!L22,Vorrunde!O22,Vorrunde!R22,Vorrunde!N10,Vorrunde!Q10,Vorrunde!T10,Vorrunde!N2,Vorrunde!Q2,Vorrunde!T2)</f>
        <v>0</v>
      </c>
      <c r="I18" s="41" t="str">
        <f>IF((H18=0),"Quotient",F18/H18)</f>
        <v>Quotient</v>
      </c>
      <c r="J18" s="34">
        <f>RANK(E18,$E$17:$E$20)</f>
        <v>1</v>
      </c>
      <c r="K18" s="54" t="str">
        <f>A18</f>
        <v>Team 2, Gruppe D</v>
      </c>
      <c r="M18" s="6">
        <v>13</v>
      </c>
      <c r="N18" s="5" t="str">
        <f>IF(B17+B18+B19+B20=0,"Team 4, Gruppe D",VLOOKUP(4,J17:K20,2,FALSE))</f>
        <v>Team 4, Gruppe D</v>
      </c>
      <c r="O18" s="8" t="s">
        <v>55</v>
      </c>
    </row>
    <row r="19" spans="1:15" ht="12.75">
      <c r="A19" s="19" t="str">
        <f>Anmeldung!J22</f>
        <v>Team 3, Gruppe D</v>
      </c>
      <c r="B19" s="17">
        <f>SUM(Vorrunde!H18,Vorrunde!J14,Vorrunde!J2)</f>
        <v>0</v>
      </c>
      <c r="C19" s="24" t="s">
        <v>34</v>
      </c>
      <c r="D19" s="29">
        <f>SUM(Vorrunde!J18,Vorrunde!H14,Vorrunde!H2)</f>
        <v>0</v>
      </c>
      <c r="E19" s="44">
        <f>SUM(B19-D19)</f>
        <v>0</v>
      </c>
      <c r="F19" s="24">
        <f>SUM(Vorrunde!L18,Vorrunde!O18,Vorrunde!R18,Vorrunde!N14,Vorrunde!Q14,Vorrunde!T14,Vorrunde!N2,Vorrunde!Q2,Vorrunde!T2)</f>
        <v>0</v>
      </c>
      <c r="G19" s="24" t="s">
        <v>34</v>
      </c>
      <c r="H19" s="24">
        <f>SUM(Vorrunde!N18,Vorrunde!Q18,Vorrunde!T18,Vorrunde!L14,Vorrunde!O14,Vorrunde!R14,Vorrunde!L2,Vorrunde!O2,Vorrunde!R2)</f>
        <v>0</v>
      </c>
      <c r="I19" s="41" t="str">
        <f>IF((H19=0),"Quotient",F19/H19)</f>
        <v>Quotient</v>
      </c>
      <c r="J19" s="34">
        <f>RANK(E19,$E$17:$E$20)</f>
        <v>1</v>
      </c>
      <c r="K19" s="54" t="str">
        <f>A19</f>
        <v>Team 3, Gruppe D</v>
      </c>
      <c r="L19" s="36"/>
      <c r="M19" s="6">
        <v>13</v>
      </c>
      <c r="N19" s="5" t="str">
        <f>IF(B12+B13+B14+B15=0,"Team 4, Gruppe C",VLOOKUP(4,J12:K15,2,FALSE))</f>
        <v>Team 4, Gruppe C</v>
      </c>
      <c r="O19" s="8" t="s">
        <v>56</v>
      </c>
    </row>
    <row r="20" spans="1:11" ht="12.75">
      <c r="A20" s="21" t="str">
        <f>Anmeldung!J23</f>
        <v>Team 4, Gruppe D</v>
      </c>
      <c r="B20" s="18">
        <f>SUM(Vorrunde!J18,Vorrunde!J10,Vorrunde!J6)</f>
        <v>0</v>
      </c>
      <c r="C20" s="26" t="s">
        <v>34</v>
      </c>
      <c r="D20" s="30">
        <f>SUM(Vorrunde!H18,Vorrunde!H10,Vorrunde!H6)</f>
        <v>0</v>
      </c>
      <c r="E20" s="45">
        <f>SUM(B20-D20)</f>
        <v>0</v>
      </c>
      <c r="F20" s="26">
        <f>SUM(Vorrunde!N18,Vorrunde!Q18,Vorrunde!T18,Vorrunde!N10,Vorrunde!Q10,Vorrunde!T10,Vorrunde!N6,Vorrunde!Q6,Vorrunde!T6)</f>
        <v>0</v>
      </c>
      <c r="G20" s="26" t="s">
        <v>34</v>
      </c>
      <c r="H20" s="26">
        <f>SUM(Vorrunde!L18,Vorrunde!O18,Vorrunde!R18,Vorrunde!L10,Vorrunde!O10,Vorrunde!R10,Vorrunde!L6,Vorrunde!O6,Vorrunde!R6)</f>
        <v>0</v>
      </c>
      <c r="I20" s="42" t="str">
        <f>IF((H20=0),"Quotient",F20/H20)</f>
        <v>Quotient</v>
      </c>
      <c r="J20" s="35">
        <f>RANK(E20,$E$17:$E$20)</f>
        <v>1</v>
      </c>
      <c r="K20" s="55" t="str">
        <f>A20</f>
        <v>Team 4, Gruppe D</v>
      </c>
    </row>
    <row r="22" spans="1:14" ht="12.75">
      <c r="A22" s="37" t="s">
        <v>52</v>
      </c>
      <c r="B22" s="38"/>
      <c r="C22" s="38"/>
      <c r="D22" s="38"/>
      <c r="E22" s="38"/>
      <c r="F22" s="38"/>
      <c r="G22" s="38"/>
      <c r="H22" s="38"/>
      <c r="I22" s="38"/>
      <c r="J22" s="38"/>
      <c r="K22" s="48"/>
      <c r="L22" s="37"/>
      <c r="M22" s="39"/>
      <c r="N22" s="40"/>
    </row>
  </sheetData>
  <sheetProtection formatCells="0" formatColumns="0" formatRows="0" selectLockedCells="1"/>
  <mergeCells count="2">
    <mergeCell ref="F1:H1"/>
    <mergeCell ref="B1:D1"/>
  </mergeCells>
  <printOptions horizontalCentered="1" verticalCentered="1"/>
  <pageMargins left="0.5905511811023623" right="0.5905511811023623" top="0.984251968503937" bottom="0.984251968503937" header="0.5118110236220472" footer="0.5118110236220472"/>
  <pageSetup horizontalDpi="300" verticalDpi="300" orientation="landscape" paperSize="9" scale="130" r:id="rId1"/>
  <headerFooter alignWithMargins="0">
    <oddHeader>&amp;CCOOP Junior Beach Tour
Resultate Gruppen 16 Teams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13"/>
  <sheetViews>
    <sheetView zoomScalePageLayoutView="0" workbookViewId="0" topLeftCell="A1">
      <selection activeCell="E17" sqref="E17"/>
    </sheetView>
  </sheetViews>
  <sheetFormatPr defaultColWidth="9.140625" defaultRowHeight="12.75"/>
  <cols>
    <col min="1" max="1" width="4.7109375" style="3" customWidth="1"/>
    <col min="2" max="2" width="6.28125" style="3" customWidth="1"/>
    <col min="3" max="3" width="4.7109375" style="3" customWidth="1"/>
    <col min="4" max="4" width="6.8515625" style="3" customWidth="1"/>
    <col min="5" max="5" width="29.421875" style="3" customWidth="1"/>
    <col min="6" max="6" width="3.57421875" style="3" customWidth="1"/>
    <col min="7" max="7" width="29.421875" style="3" customWidth="1"/>
    <col min="8" max="10" width="3.8515625" style="3" customWidth="1"/>
    <col min="11" max="11" width="6.140625" style="3" customWidth="1"/>
    <col min="12" max="20" width="3.8515625" style="1" customWidth="1"/>
    <col min="21" max="16384" width="9.140625" style="1" customWidth="1"/>
  </cols>
  <sheetData>
    <row r="1" spans="1:20" ht="33" customHeight="1" thickBot="1">
      <c r="A1" s="123" t="s">
        <v>8</v>
      </c>
      <c r="B1" s="124" t="s">
        <v>9</v>
      </c>
      <c r="C1" s="124" t="s">
        <v>10</v>
      </c>
      <c r="D1" s="125" t="s">
        <v>47</v>
      </c>
      <c r="E1" s="126" t="s">
        <v>11</v>
      </c>
      <c r="F1" s="126" t="s">
        <v>12</v>
      </c>
      <c r="G1" s="126" t="s">
        <v>13</v>
      </c>
      <c r="H1" s="127" t="s">
        <v>14</v>
      </c>
      <c r="I1" s="127"/>
      <c r="J1" s="127"/>
      <c r="K1" s="128" t="s">
        <v>15</v>
      </c>
      <c r="L1" s="127" t="s">
        <v>22</v>
      </c>
      <c r="M1" s="127"/>
      <c r="N1" s="127"/>
      <c r="O1" s="127" t="s">
        <v>23</v>
      </c>
      <c r="P1" s="127"/>
      <c r="Q1" s="127"/>
      <c r="R1" s="127" t="s">
        <v>59</v>
      </c>
      <c r="S1" s="127"/>
      <c r="T1" s="129"/>
    </row>
    <row r="2" spans="1:20" ht="18" customHeight="1">
      <c r="A2" s="116">
        <v>25</v>
      </c>
      <c r="B2" s="120" t="s">
        <v>16</v>
      </c>
      <c r="C2" s="118"/>
      <c r="D2" s="122"/>
      <c r="E2" s="120" t="str">
        <f>RankSeed!N6</f>
        <v>Team 2, Gruppe D</v>
      </c>
      <c r="F2" s="120" t="s">
        <v>12</v>
      </c>
      <c r="G2" s="120" t="str">
        <f>RankSeed!N10</f>
        <v>Team 3, Gruppe A</v>
      </c>
      <c r="H2" s="121">
        <f>IF(L2=N2,"",SUM(IF(L2&gt;N2,1,0),IF(O2&gt;Q2,1,0),IF(R2&lt;=T2,0,1)))</f>
      </c>
      <c r="I2" s="89" t="s">
        <v>17</v>
      </c>
      <c r="J2" s="89">
        <f>IF(L2=N2,"",SUM(IF(L2&lt;N2,1,0),IF(O2&lt;Q2,1,0),IF(R2&gt;=T2,0,1)))</f>
      </c>
      <c r="K2" s="93"/>
      <c r="L2" s="118"/>
      <c r="M2" s="89" t="s">
        <v>17</v>
      </c>
      <c r="N2" s="118"/>
      <c r="O2" s="118"/>
      <c r="P2" s="89" t="s">
        <v>17</v>
      </c>
      <c r="Q2" s="118"/>
      <c r="R2" s="93"/>
      <c r="S2" s="89" t="s">
        <v>17</v>
      </c>
      <c r="T2" s="92"/>
    </row>
    <row r="3" spans="1:20" ht="18" customHeight="1">
      <c r="A3" s="107">
        <f aca="true" t="shared" si="0" ref="A3:A13">SUM(A2,1)</f>
        <v>26</v>
      </c>
      <c r="B3" s="7" t="s">
        <v>16</v>
      </c>
      <c r="C3" s="57"/>
      <c r="D3" s="58"/>
      <c r="E3" s="7" t="str">
        <f>RankSeed!N7</f>
        <v>Team 2, Gruppe C</v>
      </c>
      <c r="F3" s="7" t="s">
        <v>12</v>
      </c>
      <c r="G3" s="7" t="str">
        <f>RankSeed!N11</f>
        <v>Team 3, Gruppe B</v>
      </c>
      <c r="H3" s="82">
        <f aca="true" t="shared" si="1" ref="H3:H13">IF(L3=N3,"",SUM(IF(L3&gt;N3,1,0),IF(O3&gt;Q3,1,0),IF(R3&lt;=T3,0,1)))</f>
      </c>
      <c r="I3" s="81" t="s">
        <v>17</v>
      </c>
      <c r="J3" s="81">
        <f aca="true" t="shared" si="2" ref="J3:J13">IF(L3=N3,"",SUM(IF(L3&lt;N3,1,0),IF(O3&lt;Q3,1,0),IF(R3&gt;=T3,0,1)))</f>
      </c>
      <c r="K3" s="79"/>
      <c r="L3" s="57"/>
      <c r="M3" s="81" t="s">
        <v>17</v>
      </c>
      <c r="N3" s="57"/>
      <c r="O3" s="57"/>
      <c r="P3" s="81" t="s">
        <v>17</v>
      </c>
      <c r="Q3" s="57"/>
      <c r="R3" s="79"/>
      <c r="S3" s="81" t="s">
        <v>17</v>
      </c>
      <c r="T3" s="85"/>
    </row>
    <row r="4" spans="1:20" ht="18" customHeight="1">
      <c r="A4" s="107">
        <f t="shared" si="0"/>
        <v>27</v>
      </c>
      <c r="B4" s="7" t="s">
        <v>16</v>
      </c>
      <c r="C4" s="57"/>
      <c r="D4" s="58"/>
      <c r="E4" s="7" t="str">
        <f>RankSeed!N8</f>
        <v>Team 2, Gruppe B</v>
      </c>
      <c r="F4" s="7" t="s">
        <v>12</v>
      </c>
      <c r="G4" s="7" t="str">
        <f>RankSeed!N12</f>
        <v>Team 3, Gruppe C</v>
      </c>
      <c r="H4" s="82">
        <f t="shared" si="1"/>
      </c>
      <c r="I4" s="81" t="s">
        <v>17</v>
      </c>
      <c r="J4" s="81">
        <f t="shared" si="2"/>
      </c>
      <c r="K4" s="79"/>
      <c r="L4" s="57"/>
      <c r="M4" s="81" t="s">
        <v>17</v>
      </c>
      <c r="N4" s="57"/>
      <c r="O4" s="57"/>
      <c r="P4" s="81" t="s">
        <v>17</v>
      </c>
      <c r="Q4" s="57"/>
      <c r="R4" s="79"/>
      <c r="S4" s="81" t="s">
        <v>17</v>
      </c>
      <c r="T4" s="85"/>
    </row>
    <row r="5" spans="1:20" ht="18" customHeight="1" thickBot="1">
      <c r="A5" s="108">
        <f t="shared" si="0"/>
        <v>28</v>
      </c>
      <c r="B5" s="109" t="s">
        <v>16</v>
      </c>
      <c r="C5" s="110"/>
      <c r="D5" s="111"/>
      <c r="E5" s="109" t="str">
        <f>RankSeed!N9</f>
        <v>Team 2, Gruppe A</v>
      </c>
      <c r="F5" s="109" t="s">
        <v>12</v>
      </c>
      <c r="G5" s="109" t="str">
        <f>RankSeed!N13</f>
        <v>Team 3, Gruppe D</v>
      </c>
      <c r="H5" s="112">
        <f t="shared" si="1"/>
      </c>
      <c r="I5" s="113" t="s">
        <v>17</v>
      </c>
      <c r="J5" s="113">
        <f t="shared" si="2"/>
      </c>
      <c r="K5" s="114"/>
      <c r="L5" s="110"/>
      <c r="M5" s="113" t="s">
        <v>17</v>
      </c>
      <c r="N5" s="110"/>
      <c r="O5" s="110"/>
      <c r="P5" s="113" t="s">
        <v>17</v>
      </c>
      <c r="Q5" s="110"/>
      <c r="R5" s="114"/>
      <c r="S5" s="113" t="s">
        <v>17</v>
      </c>
      <c r="T5" s="115"/>
    </row>
    <row r="6" spans="1:20" ht="18" customHeight="1">
      <c r="A6" s="116">
        <f>SUM(A5,1)</f>
        <v>29</v>
      </c>
      <c r="B6" s="120" t="s">
        <v>61</v>
      </c>
      <c r="C6" s="118"/>
      <c r="D6" s="119"/>
      <c r="E6" s="120" t="str">
        <f>RankSeed!N4</f>
        <v>Team 1, Gruppe C</v>
      </c>
      <c r="F6" s="120" t="s">
        <v>12</v>
      </c>
      <c r="G6" s="120" t="str">
        <f>IF($H$2=$J$2,CONCATENATE("Winner Match #",$A$2),IF($H$2&gt;$J$2,$E$2,$G$2))</f>
        <v>Winner Match #25</v>
      </c>
      <c r="H6" s="121">
        <f>IF(L6=N6,"",SUM(IF(L6&gt;N6,1,0),IF(O6&gt;Q6,1,0),IF(R6&lt;=T6,0,1)))</f>
      </c>
      <c r="I6" s="89" t="s">
        <v>17</v>
      </c>
      <c r="J6" s="89">
        <f>IF(L6=N6,"",SUM(IF(L6&lt;N6,1,0),IF(O6&lt;Q6,1,0),IF(R6&gt;=T6,0,1)))</f>
      </c>
      <c r="K6" s="93"/>
      <c r="L6" s="118"/>
      <c r="M6" s="89" t="s">
        <v>17</v>
      </c>
      <c r="N6" s="118"/>
      <c r="O6" s="118"/>
      <c r="P6" s="89" t="s">
        <v>17</v>
      </c>
      <c r="Q6" s="118"/>
      <c r="R6" s="93"/>
      <c r="S6" s="89" t="s">
        <v>17</v>
      </c>
      <c r="T6" s="92"/>
    </row>
    <row r="7" spans="1:20" ht="18" customHeight="1">
      <c r="A7" s="107">
        <f>SUM(A6,1)</f>
        <v>30</v>
      </c>
      <c r="B7" s="7" t="s">
        <v>61</v>
      </c>
      <c r="C7" s="57"/>
      <c r="D7" s="58"/>
      <c r="E7" s="7" t="str">
        <f>RankSeed!N5</f>
        <v>Team 1, Gruppe D</v>
      </c>
      <c r="F7" s="7" t="s">
        <v>12</v>
      </c>
      <c r="G7" s="7" t="str">
        <f>IF($H$3=$J$3,CONCATENATE("Winner Match #",$A$3),IF($H$3&gt;$J$3,$E$3,$G$3))</f>
        <v>Winner Match #26</v>
      </c>
      <c r="H7" s="82">
        <f>IF(L7=N7,"",SUM(IF(L7&gt;N7,1,0),IF(O7&gt;Q7,1,0),IF(R7&lt;=T7,0,1)))</f>
      </c>
      <c r="I7" s="81" t="s">
        <v>17</v>
      </c>
      <c r="J7" s="81">
        <f>IF(L7=N7,"",SUM(IF(L7&lt;N7,1,0),IF(O7&lt;Q7,1,0),IF(R7&gt;=T7,0,1)))</f>
      </c>
      <c r="K7" s="79"/>
      <c r="L7" s="57"/>
      <c r="M7" s="81" t="s">
        <v>17</v>
      </c>
      <c r="N7" s="57"/>
      <c r="O7" s="57"/>
      <c r="P7" s="81" t="s">
        <v>17</v>
      </c>
      <c r="Q7" s="57"/>
      <c r="R7" s="79"/>
      <c r="S7" s="81" t="s">
        <v>17</v>
      </c>
      <c r="T7" s="85"/>
    </row>
    <row r="8" spans="1:20" ht="18" customHeight="1">
      <c r="A8" s="107">
        <f t="shared" si="0"/>
        <v>31</v>
      </c>
      <c r="B8" s="7" t="s">
        <v>61</v>
      </c>
      <c r="C8" s="57"/>
      <c r="D8" s="58"/>
      <c r="E8" s="7" t="str">
        <f>RankSeed!N2</f>
        <v>Team 1, Gruppe A</v>
      </c>
      <c r="F8" s="7" t="s">
        <v>12</v>
      </c>
      <c r="G8" s="7" t="str">
        <f>IF($H$4=$J$4,CONCATENATE("Winner Match #",$A$4),IF($H$4&gt;$J$4,$E$4,$G$4))</f>
        <v>Winner Match #27</v>
      </c>
      <c r="H8" s="82">
        <f>IF(L8=N8,"",SUM(IF(L8&gt;N8,1,0),IF(O8&gt;Q8,1,0),IF(R8&lt;=T8,0,1)))</f>
      </c>
      <c r="I8" s="81" t="s">
        <v>17</v>
      </c>
      <c r="J8" s="81">
        <f>IF(L8=N8,"",SUM(IF(L8&lt;N8,1,0),IF(O8&lt;Q8,1,0),IF(R8&gt;=T8,0,1)))</f>
      </c>
      <c r="K8" s="79"/>
      <c r="L8" s="57"/>
      <c r="M8" s="81" t="s">
        <v>17</v>
      </c>
      <c r="N8" s="57"/>
      <c r="O8" s="57"/>
      <c r="P8" s="81" t="s">
        <v>17</v>
      </c>
      <c r="Q8" s="57"/>
      <c r="R8" s="79"/>
      <c r="S8" s="81" t="s">
        <v>17</v>
      </c>
      <c r="T8" s="85"/>
    </row>
    <row r="9" spans="1:20" ht="18" customHeight="1" thickBot="1">
      <c r="A9" s="108">
        <f>SUM(A8,1)</f>
        <v>32</v>
      </c>
      <c r="B9" s="109" t="s">
        <v>61</v>
      </c>
      <c r="C9" s="110"/>
      <c r="D9" s="111"/>
      <c r="E9" s="109" t="str">
        <f>RankSeed!N3</f>
        <v>Team 1, Gruppe B</v>
      </c>
      <c r="F9" s="109" t="s">
        <v>12</v>
      </c>
      <c r="G9" s="109" t="str">
        <f>IF($H$5=$J$5,CONCATENATE("Winner Match #",$A$5),IF($H$5&gt;$J$5,$E$5,$G$5))</f>
        <v>Winner Match #28</v>
      </c>
      <c r="H9" s="112">
        <f>IF(L9=N9,"",SUM(IF(L9&gt;N9,1,0),IF(O9&gt;Q9,1,0),IF(R9&lt;=T9,0,1)))</f>
      </c>
      <c r="I9" s="113" t="s">
        <v>17</v>
      </c>
      <c r="J9" s="113">
        <f>IF(L9=N9,"",SUM(IF(L9&lt;N9,1,0),IF(O9&lt;Q9,1,0),IF(R9&gt;=T9,0,1)))</f>
      </c>
      <c r="K9" s="114"/>
      <c r="L9" s="110"/>
      <c r="M9" s="113" t="s">
        <v>17</v>
      </c>
      <c r="N9" s="110"/>
      <c r="O9" s="110"/>
      <c r="P9" s="113" t="s">
        <v>17</v>
      </c>
      <c r="Q9" s="110"/>
      <c r="R9" s="114"/>
      <c r="S9" s="113" t="s">
        <v>17</v>
      </c>
      <c r="T9" s="115"/>
    </row>
    <row r="10" spans="1:20" ht="18" customHeight="1">
      <c r="A10" s="116">
        <f t="shared" si="0"/>
        <v>33</v>
      </c>
      <c r="B10" s="120" t="s">
        <v>18</v>
      </c>
      <c r="C10" s="118"/>
      <c r="D10" s="119"/>
      <c r="E10" s="120" t="str">
        <f>IF($H$7=$J$7,CONCATENATE("Winner Match #",$A$7),IF($H$7&gt;$J$7,$E$7,$G$7))</f>
        <v>Winner Match #30</v>
      </c>
      <c r="F10" s="120" t="s">
        <v>12</v>
      </c>
      <c r="G10" s="120" t="str">
        <f>IF($H$8=$J$8,CONCATENATE("Winner Match #",$A$8),IF($H$8&gt;$J$8,$E$8,$G$8))</f>
        <v>Winner Match #31</v>
      </c>
      <c r="H10" s="121">
        <f t="shared" si="1"/>
      </c>
      <c r="I10" s="89" t="s">
        <v>17</v>
      </c>
      <c r="J10" s="89">
        <f t="shared" si="2"/>
      </c>
      <c r="K10" s="93"/>
      <c r="L10" s="118"/>
      <c r="M10" s="89" t="s">
        <v>17</v>
      </c>
      <c r="N10" s="118"/>
      <c r="O10" s="118"/>
      <c r="P10" s="89" t="s">
        <v>17</v>
      </c>
      <c r="Q10" s="118"/>
      <c r="R10" s="93"/>
      <c r="S10" s="89" t="s">
        <v>17</v>
      </c>
      <c r="T10" s="92"/>
    </row>
    <row r="11" spans="1:20" ht="18" customHeight="1" thickBot="1">
      <c r="A11" s="108">
        <f t="shared" si="0"/>
        <v>34</v>
      </c>
      <c r="B11" s="109" t="s">
        <v>18</v>
      </c>
      <c r="C11" s="110"/>
      <c r="D11" s="111"/>
      <c r="E11" s="109" t="str">
        <f>IF($H$6=$J$6,CONCATENATE("Winner Match #",$A$6),IF($H$6&gt;$J$6,$E$6,$G$6))</f>
        <v>Winner Match #29</v>
      </c>
      <c r="F11" s="109" t="s">
        <v>12</v>
      </c>
      <c r="G11" s="109" t="str">
        <f>IF($H$9=$J$9,CONCATENATE("Winner Match #",$A$9),IF($H$9&gt;$J$9,$E$9,$G$9))</f>
        <v>Winner Match #32</v>
      </c>
      <c r="H11" s="112">
        <f t="shared" si="1"/>
      </c>
      <c r="I11" s="113" t="s">
        <v>17</v>
      </c>
      <c r="J11" s="113">
        <f t="shared" si="2"/>
      </c>
      <c r="K11" s="114"/>
      <c r="L11" s="110"/>
      <c r="M11" s="113" t="s">
        <v>17</v>
      </c>
      <c r="N11" s="110"/>
      <c r="O11" s="110"/>
      <c r="P11" s="113" t="s">
        <v>17</v>
      </c>
      <c r="Q11" s="110"/>
      <c r="R11" s="114"/>
      <c r="S11" s="113" t="s">
        <v>17</v>
      </c>
      <c r="T11" s="115"/>
    </row>
    <row r="12" spans="1:20" ht="18" customHeight="1">
      <c r="A12" s="116">
        <f t="shared" si="0"/>
        <v>35</v>
      </c>
      <c r="B12" s="117" t="s">
        <v>19</v>
      </c>
      <c r="C12" s="118"/>
      <c r="D12" s="119"/>
      <c r="E12" s="120" t="str">
        <f>IF($H$10=$J$10,CONCATENATE("Loser Match #",$A$10),IF($H$10&lt;$J$10,$E$10,$G$10))</f>
        <v>Loser Match #33</v>
      </c>
      <c r="F12" s="120" t="s">
        <v>12</v>
      </c>
      <c r="G12" s="120" t="str">
        <f>IF($H$11=$J$11,CONCATENATE("Loser Match #",$A$11),IF($H$11&lt;$J$11,$E$11,$G$11))</f>
        <v>Loser Match #34</v>
      </c>
      <c r="H12" s="121">
        <f t="shared" si="1"/>
      </c>
      <c r="I12" s="89" t="s">
        <v>17</v>
      </c>
      <c r="J12" s="89">
        <f t="shared" si="2"/>
      </c>
      <c r="K12" s="93"/>
      <c r="L12" s="118"/>
      <c r="M12" s="89" t="s">
        <v>17</v>
      </c>
      <c r="N12" s="118"/>
      <c r="O12" s="118"/>
      <c r="P12" s="89" t="s">
        <v>17</v>
      </c>
      <c r="Q12" s="118"/>
      <c r="R12" s="93"/>
      <c r="S12" s="89" t="s">
        <v>17</v>
      </c>
      <c r="T12" s="92"/>
    </row>
    <row r="13" spans="1:20" ht="18" customHeight="1" thickBot="1">
      <c r="A13" s="108">
        <f t="shared" si="0"/>
        <v>36</v>
      </c>
      <c r="B13" s="109" t="s">
        <v>20</v>
      </c>
      <c r="C13" s="110"/>
      <c r="D13" s="111"/>
      <c r="E13" s="109" t="str">
        <f>IF($H$10=$J$10,CONCATENATE("Winner Match #",$A$10),IF($H$10&gt;$J$10,$E$10,$G$10))</f>
        <v>Winner Match #33</v>
      </c>
      <c r="F13" s="109" t="s">
        <v>12</v>
      </c>
      <c r="G13" s="109" t="str">
        <f>IF($H$11=$J$11,CONCATENATE("Winner Match #",$A$11),IF($H$11&gt;$J$11,$E$11,$G$11))</f>
        <v>Winner Match #34</v>
      </c>
      <c r="H13" s="112">
        <f t="shared" si="1"/>
      </c>
      <c r="I13" s="113" t="s">
        <v>17</v>
      </c>
      <c r="J13" s="113">
        <f t="shared" si="2"/>
      </c>
      <c r="K13" s="114"/>
      <c r="L13" s="110"/>
      <c r="M13" s="113" t="s">
        <v>17</v>
      </c>
      <c r="N13" s="110"/>
      <c r="O13" s="110"/>
      <c r="P13" s="113" t="s">
        <v>17</v>
      </c>
      <c r="Q13" s="110"/>
      <c r="R13" s="114"/>
      <c r="S13" s="113" t="s">
        <v>17</v>
      </c>
      <c r="T13" s="115"/>
    </row>
    <row r="14" ht="11.25" customHeight="1"/>
  </sheetData>
  <sheetProtection formatCells="0" formatColumns="0" formatRows="0" selectLockedCells="1"/>
  <printOptions horizontalCentered="1"/>
  <pageMargins left="0.7480314960629921" right="0.7480314960629921" top="1.38" bottom="0.3937007874015748" header="0.3937007874015748" footer="0.3937007874015748"/>
  <pageSetup horizontalDpi="300" verticalDpi="300" orientation="landscape" paperSize="9" scale="120" r:id="rId1"/>
  <headerFooter alignWithMargins="0">
    <oddHeader>&amp;C&amp;12COOP Junior Beach Tour
Finalspiele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1">
      <selection activeCell="A18" sqref="A18"/>
    </sheetView>
  </sheetViews>
  <sheetFormatPr defaultColWidth="9.140625" defaultRowHeight="12.75"/>
  <cols>
    <col min="1" max="2" width="18.7109375" style="143" customWidth="1"/>
    <col min="3" max="3" width="17.421875" style="143" customWidth="1"/>
    <col min="4" max="5" width="1.8515625" style="143" customWidth="1"/>
    <col min="6" max="6" width="18.7109375" style="143" customWidth="1"/>
    <col min="7" max="7" width="2.7109375" style="143" customWidth="1"/>
    <col min="8" max="8" width="17.8515625" style="143" customWidth="1"/>
    <col min="9" max="9" width="18.7109375" style="143" customWidth="1"/>
    <col min="10" max="16384" width="9.140625" style="143" customWidth="1"/>
  </cols>
  <sheetData>
    <row r="1" spans="2:13" ht="12" customHeight="1">
      <c r="B1" s="144" t="str">
        <f>CONCATENATE(Resultate!$E$6," ")</f>
        <v>Team 1, Gruppe C </v>
      </c>
      <c r="C1"/>
      <c r="D1"/>
      <c r="E1"/>
      <c r="F1"/>
      <c r="G1"/>
      <c r="H1"/>
      <c r="J1"/>
      <c r="K1" s="145"/>
      <c r="L1" s="145"/>
      <c r="M1" s="145"/>
    </row>
    <row r="2" spans="2:13" ht="12" customHeight="1">
      <c r="B2" s="146"/>
      <c r="C2"/>
      <c r="D2"/>
      <c r="E2"/>
      <c r="F2"/>
      <c r="G2"/>
      <c r="H2"/>
      <c r="I2" s="147"/>
      <c r="J2" s="147"/>
      <c r="K2"/>
      <c r="L2" s="145"/>
      <c r="M2" s="145"/>
    </row>
    <row r="3" spans="1:13" ht="12" customHeight="1">
      <c r="A3" s="144" t="str">
        <f>CONCATENATE(Resultate!$E$2," ")</f>
        <v>Team 2, Gruppe D </v>
      </c>
      <c r="B3" s="148" t="str">
        <f>CONCATENATE("",Resultate!$A$6,"")</f>
        <v>29</v>
      </c>
      <c r="C3" s="149" t="str">
        <f>CONCATENATE(Resultate!$E$11," ")</f>
        <v>Winner Match #29 </v>
      </c>
      <c r="D3" s="150"/>
      <c r="E3" s="151"/>
      <c r="G3" s="151"/>
      <c r="H3"/>
      <c r="I3" s="147"/>
      <c r="J3" s="147"/>
      <c r="K3"/>
      <c r="L3" s="145"/>
      <c r="M3" s="145"/>
    </row>
    <row r="4" spans="1:13" ht="12" customHeight="1">
      <c r="A4" s="146"/>
      <c r="B4" s="152" t="str">
        <f>CONCATENATE("(",Resultate!$H$6," : ",Resultate!$J$6,")")</f>
        <v>( : )</v>
      </c>
      <c r="C4" s="151"/>
      <c r="D4" s="153"/>
      <c r="E4" s="151"/>
      <c r="G4" s="151"/>
      <c r="H4" s="154"/>
      <c r="I4" s="147"/>
      <c r="J4" s="147"/>
      <c r="K4"/>
      <c r="L4" s="145"/>
      <c r="M4" s="145"/>
    </row>
    <row r="5" spans="1:13" ht="12" customHeight="1">
      <c r="A5" s="148" t="str">
        <f>CONCATENATE("",Resultate!$A$2,"")</f>
        <v>25</v>
      </c>
      <c r="B5" s="155" t="str">
        <f>CONCATENATE(Resultate!$G$6," ")</f>
        <v>Winner Match #25 </v>
      </c>
      <c r="C5" s="156"/>
      <c r="D5" s="157"/>
      <c r="E5" s="156"/>
      <c r="F5" s="158" t="str">
        <f>CONCATENATE(Resultate!$E$12," ")</f>
        <v>Loser Match #33 </v>
      </c>
      <c r="G5" s="156"/>
      <c r="H5" s="154"/>
      <c r="I5" s="147"/>
      <c r="J5" s="147"/>
      <c r="K5" s="145"/>
      <c r="L5" s="145"/>
      <c r="M5" s="145"/>
    </row>
    <row r="6" spans="1:13" ht="12" customHeight="1">
      <c r="A6" s="152" t="str">
        <f>CONCATENATE("(",Resultate!$H$2," : ",Resultate!$J$2,")")</f>
        <v>( : )</v>
      </c>
      <c r="B6" s="12"/>
      <c r="C6" s="156"/>
      <c r="D6" s="159"/>
      <c r="E6" s="160"/>
      <c r="F6" s="161"/>
      <c r="G6" s="156"/>
      <c r="H6" s="154"/>
      <c r="I6" s="147"/>
      <c r="J6" s="147"/>
      <c r="K6"/>
      <c r="L6" s="145"/>
      <c r="M6" s="145"/>
    </row>
    <row r="7" spans="1:13" ht="12" customHeight="1">
      <c r="A7" s="155" t="str">
        <f>CONCATENATE(Resultate!$G$2," ")</f>
        <v>Team 3, Gruppe A </v>
      </c>
      <c r="B7" s="154"/>
      <c r="C7" s="162"/>
      <c r="D7" s="159"/>
      <c r="E7" s="160"/>
      <c r="F7" s="159"/>
      <c r="G7" s="162"/>
      <c r="I7" s="147"/>
      <c r="J7" s="163"/>
      <c r="K7"/>
      <c r="L7" s="145"/>
      <c r="M7" s="145"/>
    </row>
    <row r="8" spans="1:13" ht="12" customHeight="1">
      <c r="A8" s="12"/>
      <c r="B8" s="154"/>
      <c r="C8" s="164"/>
      <c r="D8" s="152"/>
      <c r="E8" s="164"/>
      <c r="F8" s="165" t="s">
        <v>62</v>
      </c>
      <c r="G8" s="164"/>
      <c r="I8" s="166"/>
      <c r="J8" s="163"/>
      <c r="K8" s="145"/>
      <c r="L8" s="145"/>
      <c r="M8" s="145"/>
    </row>
    <row r="9" spans="1:13" ht="12" customHeight="1">
      <c r="A9" s="154"/>
      <c r="B9" s="144" t="str">
        <f>CONCATENATE(Resultate!$E$7," ")</f>
        <v>Team 1, Gruppe D </v>
      </c>
      <c r="C9" s="156"/>
      <c r="D9" s="157"/>
      <c r="E9" s="156"/>
      <c r="F9" s="148" t="str">
        <f>CONCATENATE("",Resultate!$A$12,"")</f>
        <v>35</v>
      </c>
      <c r="G9" s="156"/>
      <c r="I9" s="167"/>
      <c r="J9" s="163"/>
      <c r="K9" s="145"/>
      <c r="L9" s="145"/>
      <c r="M9" s="145"/>
    </row>
    <row r="10" spans="1:13" ht="12" customHeight="1">
      <c r="A10" s="154"/>
      <c r="B10" s="157"/>
      <c r="C10" s="156"/>
      <c r="D10" s="157"/>
      <c r="E10" s="156"/>
      <c r="F10" s="168" t="str">
        <f>CONCATENATE("(",Resultate!$H$12," : ",Resultate!$J$12,")")</f>
        <v>( : )</v>
      </c>
      <c r="G10" s="156"/>
      <c r="I10" s="169"/>
      <c r="J10" s="163"/>
      <c r="K10" s="145"/>
      <c r="L10" s="145"/>
      <c r="M10" s="145"/>
    </row>
    <row r="11" spans="1:13" ht="12" customHeight="1">
      <c r="A11" s="144" t="str">
        <f>CONCATENATE(Resultate!$E$3," ")</f>
        <v>Team 2, Gruppe C </v>
      </c>
      <c r="B11" s="148" t="str">
        <f>CONCATENATE("",Resultate!$A$7,"")</f>
        <v>30</v>
      </c>
      <c r="C11" s="170" t="str">
        <f>CONCATENATE(Resultate!$E$10," ")</f>
        <v>Winner Match #30 </v>
      </c>
      <c r="D11" s="171"/>
      <c r="E11" s="172"/>
      <c r="F11" s="159"/>
      <c r="G11" s="172"/>
      <c r="I11" s="173"/>
      <c r="J11" s="163"/>
      <c r="K11"/>
      <c r="L11" s="145"/>
      <c r="M11" s="145"/>
    </row>
    <row r="12" spans="1:13" ht="12" customHeight="1">
      <c r="A12" s="157"/>
      <c r="B12" s="152" t="str">
        <f>CONCATENATE("(",Resultate!$H$7," : ",Resultate!$J$7,")")</f>
        <v>( : )</v>
      </c>
      <c r="C12" s="174"/>
      <c r="D12" s="159"/>
      <c r="E12" s="160"/>
      <c r="F12" s="159"/>
      <c r="G12" s="151"/>
      <c r="I12" s="166"/>
      <c r="J12" s="163"/>
      <c r="K12"/>
      <c r="L12" s="145"/>
      <c r="M12" s="145"/>
    </row>
    <row r="13" spans="1:10" s="178" customFormat="1" ht="12" customHeight="1">
      <c r="A13" s="148" t="str">
        <f>CONCATENATE("",Resultate!$A$3,"")</f>
        <v>26</v>
      </c>
      <c r="B13" s="144" t="str">
        <f>CONCATENATE(Resultate!$G$7," ")</f>
        <v>Winner Match #26 </v>
      </c>
      <c r="C13" s="175"/>
      <c r="D13" s="175"/>
      <c r="E13" s="151"/>
      <c r="F13" s="176" t="str">
        <f>CONCATENATE(Resultate!$G$12," ")</f>
        <v>Loser Match #34 </v>
      </c>
      <c r="G13" s="177"/>
      <c r="I13" s="179"/>
      <c r="J13" s="173"/>
    </row>
    <row r="14" spans="1:13" ht="12" customHeight="1">
      <c r="A14" s="152" t="str">
        <f>CONCATENATE("(",Resultate!$H$3," : ",Resultate!$J$3,")")</f>
        <v>( : )</v>
      </c>
      <c r="B14"/>
      <c r="C14" s="157"/>
      <c r="D14" s="157"/>
      <c r="E14" s="156"/>
      <c r="G14" s="12"/>
      <c r="I14" s="180"/>
      <c r="J14" s="163"/>
      <c r="K14" s="145"/>
      <c r="L14" s="145"/>
      <c r="M14" s="145"/>
    </row>
    <row r="15" spans="1:13" ht="12" customHeight="1">
      <c r="A15" s="155" t="str">
        <f>CONCATENATE(Resultate!$G$3," ")</f>
        <v>Team 3, Gruppe B </v>
      </c>
      <c r="B15" s="151"/>
      <c r="C15" s="157"/>
      <c r="D15" s="157"/>
      <c r="E15" s="156"/>
      <c r="G15" s="156"/>
      <c r="I15" s="179"/>
      <c r="J15" s="163"/>
      <c r="K15" s="145"/>
      <c r="L15" s="145"/>
      <c r="M15" s="145"/>
    </row>
    <row r="16" spans="1:13" ht="12" customHeight="1">
      <c r="A16"/>
      <c r="B16"/>
      <c r="C16" s="159"/>
      <c r="D16" s="159"/>
      <c r="E16" s="160"/>
      <c r="F16" s="162"/>
      <c r="G16" s="156"/>
      <c r="I16" s="179"/>
      <c r="J16" s="163"/>
      <c r="K16" s="145"/>
      <c r="L16" s="145"/>
      <c r="M16" s="145"/>
    </row>
    <row r="17" spans="1:13" ht="12" customHeight="1">
      <c r="A17" s="151"/>
      <c r="B17" s="154"/>
      <c r="C17" s="148" t="str">
        <f>CONCATENATE("",Resultate!$A$10,"")</f>
        <v>33</v>
      </c>
      <c r="D17" s="159"/>
      <c r="E17" s="160"/>
      <c r="F17" s="151"/>
      <c r="G17" s="12"/>
      <c r="I17" s="173"/>
      <c r="J17" s="163"/>
      <c r="K17" s="145"/>
      <c r="L17" s="145"/>
      <c r="M17" s="145"/>
    </row>
    <row r="18" spans="1:13" ht="12" customHeight="1">
      <c r="A18"/>
      <c r="B18"/>
      <c r="C18" s="152" t="str">
        <f>CONCATENATE("(",Resultate!$H$10," : ",Resultate!$J$10,")")</f>
        <v>( : )</v>
      </c>
      <c r="D18" s="157"/>
      <c r="E18" s="156"/>
      <c r="F18" s="156"/>
      <c r="G18" s="156"/>
      <c r="I18" s="173"/>
      <c r="J18" s="163"/>
      <c r="K18" s="145"/>
      <c r="L18" s="145"/>
      <c r="M18" s="145"/>
    </row>
    <row r="19" spans="1:13" ht="12" customHeight="1">
      <c r="A19" s="154"/>
      <c r="B19"/>
      <c r="C19" s="157"/>
      <c r="D19" s="157"/>
      <c r="E19" s="156"/>
      <c r="F19" s="156"/>
      <c r="G19" s="156"/>
      <c r="I19" s="179"/>
      <c r="J19" s="163"/>
      <c r="K19" s="145"/>
      <c r="L19" s="145"/>
      <c r="M19" s="145"/>
    </row>
    <row r="20" spans="1:10" ht="12" customHeight="1">
      <c r="A20"/>
      <c r="B20"/>
      <c r="C20" s="159"/>
      <c r="D20" s="159"/>
      <c r="E20" s="160"/>
      <c r="F20" s="156"/>
      <c r="G20" s="12"/>
      <c r="I20" s="173"/>
      <c r="J20" s="181"/>
    </row>
    <row r="21" spans="1:10" s="178" customFormat="1" ht="12" customHeight="1">
      <c r="A21"/>
      <c r="B21" s="144" t="str">
        <f>CONCATENATE(Resultate!$E$8," ")</f>
        <v>Team 1, Gruppe A </v>
      </c>
      <c r="C21" s="182"/>
      <c r="D21" s="183"/>
      <c r="E21" s="150"/>
      <c r="F21" s="158" t="str">
        <f>CONCATENATE(Resultate!$E$13," ")</f>
        <v>Winner Match #33 </v>
      </c>
      <c r="G21" s="177"/>
      <c r="I21" s="179"/>
      <c r="J21" s="173"/>
    </row>
    <row r="22" spans="1:10" ht="12" customHeight="1">
      <c r="A22"/>
      <c r="B22" s="157"/>
      <c r="C22" s="146"/>
      <c r="D22" s="146"/>
      <c r="E22" s="12"/>
      <c r="F22" s="161"/>
      <c r="G22" s="12"/>
      <c r="I22" s="173"/>
      <c r="J22" s="181"/>
    </row>
    <row r="23" spans="1:10" ht="12" customHeight="1">
      <c r="A23" s="144" t="str">
        <f>CONCATENATE(Resultate!$E$4," ")</f>
        <v>Team 2, Gruppe B </v>
      </c>
      <c r="B23" s="148" t="str">
        <f>CONCATENATE("",Resultate!$A$8,"")</f>
        <v>31</v>
      </c>
      <c r="C23" s="155" t="str">
        <f>CONCATENATE(Resultate!$G$10," ")</f>
        <v>Winner Match #31 </v>
      </c>
      <c r="D23" s="171"/>
      <c r="E23" s="172"/>
      <c r="F23" s="159"/>
      <c r="G23" s="172"/>
      <c r="I23" s="173"/>
      <c r="J23" s="181"/>
    </row>
    <row r="24" spans="1:10" ht="12" customHeight="1">
      <c r="A24" s="157"/>
      <c r="B24" s="152" t="str">
        <f>CONCATENATE("(",Resultate!$H$8," : ",Resultate!$J$8,")")</f>
        <v>( : )</v>
      </c>
      <c r="C24" s="184"/>
      <c r="D24" s="175"/>
      <c r="E24" s="151"/>
      <c r="F24" s="165" t="s">
        <v>63</v>
      </c>
      <c r="G24" s="151"/>
      <c r="H24" s="185"/>
      <c r="I24" s="173"/>
      <c r="J24" s="181"/>
    </row>
    <row r="25" spans="1:10" s="178" customFormat="1" ht="12" customHeight="1">
      <c r="A25" s="148" t="str">
        <f>CONCATENATE("",Resultate!$A$4,"")</f>
        <v>27</v>
      </c>
      <c r="B25" s="155" t="str">
        <f>CONCATENATE(Resultate!$G$8," ")</f>
        <v>Winner Match #27 </v>
      </c>
      <c r="C25" s="164"/>
      <c r="D25" s="152"/>
      <c r="E25" s="164"/>
      <c r="F25" s="148" t="str">
        <f>CONCATENATE("",Resultate!$A$13,"")</f>
        <v>36</v>
      </c>
      <c r="G25" s="164"/>
      <c r="I25" s="173"/>
      <c r="J25" s="179"/>
    </row>
    <row r="26" spans="1:10" ht="12" customHeight="1">
      <c r="A26" s="152" t="str">
        <f>CONCATENATE("(",Resultate!$H$4," : ",Resultate!$J$4,")")</f>
        <v>( : )</v>
      </c>
      <c r="B26"/>
      <c r="C26" s="156"/>
      <c r="D26" s="157"/>
      <c r="E26" s="156"/>
      <c r="F26" s="168" t="str">
        <f>CONCATENATE("(",Resultate!$H$13," : ",Resultate!$J$13,")")</f>
        <v>( : )</v>
      </c>
      <c r="G26" s="156"/>
      <c r="I26" s="179"/>
      <c r="J26" s="147"/>
    </row>
    <row r="27" spans="1:11" ht="12" customHeight="1">
      <c r="A27" s="155" t="str">
        <f>CONCATENATE(Resultate!$G$4," ")</f>
        <v>Team 3, Gruppe C </v>
      </c>
      <c r="B27"/>
      <c r="C27" s="186" t="str">
        <f>CONCATENATE("",Resultate!$A$11,"")</f>
        <v>34</v>
      </c>
      <c r="D27" s="159"/>
      <c r="E27" s="160"/>
      <c r="F27" s="159"/>
      <c r="G27" s="162"/>
      <c r="I27" s="179"/>
      <c r="J27" s="147"/>
      <c r="K27"/>
    </row>
    <row r="28" spans="1:10" ht="12" customHeight="1">
      <c r="A28"/>
      <c r="B28" s="154"/>
      <c r="C28" s="164" t="str">
        <f>CONCATENATE("(",Resultate!$H$11," : ",Resultate!$J$11,")")</f>
        <v>( : )</v>
      </c>
      <c r="D28" s="159"/>
      <c r="E28" s="160"/>
      <c r="F28" s="159"/>
      <c r="G28" s="164"/>
      <c r="H28" s="151"/>
      <c r="I28" s="166"/>
      <c r="J28" s="147"/>
    </row>
    <row r="29" spans="1:10" ht="12" customHeight="1">
      <c r="A29"/>
      <c r="B29" s="144" t="str">
        <f>CONCATENATE(Resultate!$E$9," ")</f>
        <v>Team 1, Gruppe B </v>
      </c>
      <c r="C29" s="156"/>
      <c r="D29" s="157"/>
      <c r="E29" s="187"/>
      <c r="F29" s="176" t="str">
        <f>CONCATENATE(Resultate!$G$13," ")</f>
        <v>Winner Match #34 </v>
      </c>
      <c r="G29" s="156"/>
      <c r="H29" s="154"/>
      <c r="I29" s="181"/>
      <c r="J29" s="147"/>
    </row>
    <row r="30" spans="1:10" ht="12" customHeight="1">
      <c r="A30" s="154"/>
      <c r="B30" s="157"/>
      <c r="C30" s="156"/>
      <c r="D30" s="157"/>
      <c r="E30" s="156"/>
      <c r="G30" s="156"/>
      <c r="H30" s="154"/>
      <c r="I30" s="169"/>
      <c r="J30" s="147"/>
    </row>
    <row r="31" spans="1:11" ht="12" customHeight="1">
      <c r="A31" s="144" t="str">
        <f>CONCATENATE(Resultate!$E$5," ")</f>
        <v>Team 2, Gruppe A </v>
      </c>
      <c r="B31" s="148" t="str">
        <f>CONCATENATE("",Resultate!$A$9,"")</f>
        <v>32</v>
      </c>
      <c r="C31" s="188" t="str">
        <f>CONCATENATE(Resultate!$G$11," ")</f>
        <v>Winner Match #32 </v>
      </c>
      <c r="D31" s="189"/>
      <c r="E31" s="172"/>
      <c r="F31" s="156"/>
      <c r="G31" s="172"/>
      <c r="H31"/>
      <c r="I31" s="173"/>
      <c r="J31" s="163"/>
      <c r="K31"/>
    </row>
    <row r="32" spans="1:10" ht="12" customHeight="1">
      <c r="A32" s="157"/>
      <c r="B32" s="152" t="str">
        <f>CONCATENATE("(",Resultate!$H$9," : ",Resultate!$J$9,")")</f>
        <v>( : )</v>
      </c>
      <c r="C32" s="151"/>
      <c r="D32" s="151"/>
      <c r="E32" s="151"/>
      <c r="F32" s="156"/>
      <c r="G32" s="151"/>
      <c r="H32"/>
      <c r="I32" s="166"/>
      <c r="J32" s="163"/>
    </row>
    <row r="33" spans="1:11" ht="12" customHeight="1">
      <c r="A33" s="148" t="str">
        <f>CONCATENATE("",Resultate!$A$5,"")</f>
        <v>28</v>
      </c>
      <c r="B33" s="155" t="str">
        <f>CONCATENATE(Resultate!$G$9," ")</f>
        <v>Winner Match #28 </v>
      </c>
      <c r="C33" s="154"/>
      <c r="D33" s="154"/>
      <c r="E33" s="154"/>
      <c r="F33" s="156"/>
      <c r="G33" s="154"/>
      <c r="H33"/>
      <c r="I33" s="167"/>
      <c r="J33" s="163"/>
      <c r="K33"/>
    </row>
    <row r="34" spans="1:10" ht="12" customHeight="1">
      <c r="A34" s="152" t="str">
        <f>CONCATENATE("(",Resultate!$H$5," : ",Resultate!$J$5,")")</f>
        <v>( : )</v>
      </c>
      <c r="B34"/>
      <c r="C34"/>
      <c r="D34"/>
      <c r="E34"/>
      <c r="F34" s="164"/>
      <c r="G34"/>
      <c r="H34" s="154"/>
      <c r="I34" s="147"/>
      <c r="J34" s="163"/>
    </row>
    <row r="35" spans="1:10" s="193" customFormat="1" ht="12" customHeight="1">
      <c r="A35" s="155" t="str">
        <f>CONCATENATE(Resultate!$G$5," ")</f>
        <v>Team 3, Gruppe D </v>
      </c>
      <c r="B35" s="190"/>
      <c r="C35" s="191"/>
      <c r="D35" s="191"/>
      <c r="E35" s="191"/>
      <c r="F35" s="156"/>
      <c r="G35" s="191"/>
      <c r="H35" s="190"/>
      <c r="I35" s="192"/>
      <c r="J35" s="173"/>
    </row>
    <row r="36" spans="1:10" s="160" customFormat="1" ht="12.75">
      <c r="A36"/>
      <c r="F36" s="162"/>
      <c r="I36" s="181"/>
      <c r="J36" s="181"/>
    </row>
    <row r="37" ht="11.25">
      <c r="A37" s="190"/>
    </row>
    <row r="38" ht="9">
      <c r="A38" s="160"/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B18" sqref="B18"/>
    </sheetView>
  </sheetViews>
  <sheetFormatPr defaultColWidth="8.7109375" defaultRowHeight="12.75"/>
  <cols>
    <col min="1" max="1" width="3.00390625" style="1" customWidth="1"/>
    <col min="2" max="2" width="27.28125" style="0" customWidth="1"/>
    <col min="3" max="3" width="17.8515625" style="0" customWidth="1"/>
  </cols>
  <sheetData>
    <row r="1" spans="1:3" ht="39" customHeight="1">
      <c r="A1" s="94" t="s">
        <v>38</v>
      </c>
      <c r="B1" s="95" t="s">
        <v>21</v>
      </c>
      <c r="C1" s="95" t="s">
        <v>6</v>
      </c>
    </row>
    <row r="2" spans="1:3" ht="15.75" customHeight="1">
      <c r="A2" s="6">
        <v>1</v>
      </c>
      <c r="B2" s="10" t="str">
        <f>IF(Resultate!$H$13=Resultate!$J$13,"1. Rang",IF(Resultate!$H$13&gt;Resultate!$J$13,Resultate!$E$13,Resultate!$G$13))</f>
        <v>1. Rang</v>
      </c>
      <c r="C2" s="56" t="str">
        <f>IF(B2="1. Rang","zu Hause",VLOOKUP(B2,Anmeldung!$I$2:$J$17,2,FALSE))</f>
        <v>zu Hause</v>
      </c>
    </row>
    <row r="3" spans="1:3" ht="15.75" customHeight="1">
      <c r="A3" s="6">
        <f>SUM(A2,1)</f>
        <v>2</v>
      </c>
      <c r="B3" s="10" t="str">
        <f>IF(Resultate!$H$13=Resultate!$J$13,"2. Rang",IF(Resultate!$H$13&lt;Resultate!$J$13,Resultate!$E$13,Resultate!$G$13))</f>
        <v>2. Rang</v>
      </c>
      <c r="C3" s="56" t="str">
        <f>IF(B3="2. Rang","zu Hause",VLOOKUP(B3,Anmeldung!$I$2:$J$17,2,FALSE))</f>
        <v>zu Hause</v>
      </c>
    </row>
    <row r="4" spans="1:3" ht="15.75" customHeight="1">
      <c r="A4" s="6">
        <f>SUM(A3,1)</f>
        <v>3</v>
      </c>
      <c r="B4" s="10" t="str">
        <f>IF(Resultate!$H$12=Resultate!$J$12,"3. Rang",IF(Resultate!$H$12&gt;Resultate!$J$12,Resultate!$E$12,Resultate!$G$12))</f>
        <v>3. Rang</v>
      </c>
      <c r="C4" s="56" t="str">
        <f>IF(B4="3. Rang","zu Hause",VLOOKUP(B4,Anmeldung!$I$2:$J$17,2,FALSE))</f>
        <v>zu Hause</v>
      </c>
    </row>
    <row r="5" spans="1:3" ht="15.75" customHeight="1">
      <c r="A5" s="6">
        <f>SUM(A4,1)</f>
        <v>4</v>
      </c>
      <c r="B5" s="10" t="str">
        <f>IF(Resultate!$H$12=Resultate!$J$12,"4. Rang",IF(Resultate!$H$12&lt;Resultate!$J$12,Resultate!$E$12,Resultate!$G$12))</f>
        <v>4. Rang</v>
      </c>
      <c r="C5" s="56" t="str">
        <f>IF(B5="4. Rang","zu Hause",VLOOKUP(B5,Anmeldung!$I$2:$J$17,2,FALSE))</f>
        <v>zu Hause</v>
      </c>
    </row>
    <row r="6" spans="1:3" ht="15.75" customHeight="1">
      <c r="A6" s="6">
        <f>SUM(A5,1)</f>
        <v>5</v>
      </c>
      <c r="B6" s="10" t="str">
        <f>IF(Resultate!$H7=Resultate!$J7,"5. Rang",IF(Resultate!$H7&lt;Resultate!$J7,Resultate!$E7,Resultate!$G7))</f>
        <v>5. Rang</v>
      </c>
      <c r="C6" s="56" t="str">
        <f>IF(B6="5. Rang","zu Hause",VLOOKUP(B6,Anmeldung!$I$2:$J$17,2,FALSE))</f>
        <v>zu Hause</v>
      </c>
    </row>
    <row r="7" spans="1:3" ht="15.75" customHeight="1">
      <c r="A7" s="6">
        <v>5</v>
      </c>
      <c r="B7" s="10" t="str">
        <f>IF(Resultate!$H8=Resultate!$J8,"5. Rang",IF(Resultate!$H8&lt;Resultate!$J8,Resultate!$E8,Resultate!$G8))</f>
        <v>5. Rang</v>
      </c>
      <c r="C7" s="56" t="str">
        <f>IF(B7="5. Rang","zu Hause",VLOOKUP(B7,Anmeldung!$I$2:$J$17,2,FALSE))</f>
        <v>zu Hause</v>
      </c>
    </row>
    <row r="8" spans="1:3" ht="15.75" customHeight="1">
      <c r="A8" s="6">
        <v>5</v>
      </c>
      <c r="B8" s="10" t="str">
        <f>IF(Resultate!$H6=Resultate!$J6,"5. Rang",IF(Resultate!$H6&lt;Resultate!$J6,Resultate!$E6,Resultate!$G6))</f>
        <v>5. Rang</v>
      </c>
      <c r="C8" s="56" t="str">
        <f>IF(B8="5. Rang","zu Hause",VLOOKUP(B8,Anmeldung!$I$2:$J$17,2,FALSE))</f>
        <v>zu Hause</v>
      </c>
    </row>
    <row r="9" spans="1:3" ht="15.75" customHeight="1">
      <c r="A9" s="6">
        <v>5</v>
      </c>
      <c r="B9" s="10" t="str">
        <f>IF(Resultate!$H9=Resultate!$J9,"5. Rang",IF(Resultate!$H9&lt;Resultate!$J9,Resultate!$E9,Resultate!$G9))</f>
        <v>5. Rang</v>
      </c>
      <c r="C9" s="56" t="str">
        <f>IF(B9="5. Rang","zu Hause",VLOOKUP(B9,Anmeldung!$I$2:$J$17,2,FALSE))</f>
        <v>zu Hause</v>
      </c>
    </row>
    <row r="10" spans="1:3" ht="15.75" customHeight="1">
      <c r="A10" s="6">
        <v>9</v>
      </c>
      <c r="B10" s="10" t="str">
        <f>IF(Resultate!$H2=Resultate!$J2,"9. Rang",IF(Resultate!$H2&lt;Resultate!$J2,Resultate!$E2,Resultate!$G2))</f>
        <v>9. Rang</v>
      </c>
      <c r="C10" s="56" t="str">
        <f>IF(B10="9. Rang","zu Hause",VLOOKUP(B10,Anmeldung!$I$2:$J$17,2,FALSE))</f>
        <v>zu Hause</v>
      </c>
    </row>
    <row r="11" spans="1:3" ht="15.75" customHeight="1">
      <c r="A11" s="6">
        <v>9</v>
      </c>
      <c r="B11" s="10" t="str">
        <f>IF(Resultate!$H3=Resultate!$J3,"9. Rang",IF(Resultate!$H3&lt;Resultate!$J3,Resultate!$E3,Resultate!$G3))</f>
        <v>9. Rang</v>
      </c>
      <c r="C11" s="56" t="str">
        <f>IF(B11="9. Rang","zu Hause",VLOOKUP(B11,Anmeldung!$I$2:$J$17,2,FALSE))</f>
        <v>zu Hause</v>
      </c>
    </row>
    <row r="12" spans="1:3" ht="15.75" customHeight="1">
      <c r="A12" s="6">
        <v>9</v>
      </c>
      <c r="B12" s="10" t="str">
        <f>IF(Resultate!$H4=Resultate!$J4,"9. Rang",IF(Resultate!$H4&lt;Resultate!$J4,Resultate!$E4,Resultate!$G4))</f>
        <v>9. Rang</v>
      </c>
      <c r="C12" s="56" t="str">
        <f>IF(B12="9. Rang","zu Hause",VLOOKUP(B12,Anmeldung!$I$2:$J$17,2,FALSE))</f>
        <v>zu Hause</v>
      </c>
    </row>
    <row r="13" spans="1:3" ht="15.75" customHeight="1">
      <c r="A13" s="6">
        <v>9</v>
      </c>
      <c r="B13" s="10" t="str">
        <f>IF(Resultate!$H5=Resultate!$J5,"9. Rang",IF(Resultate!$H5&lt;Resultate!$J5,Resultate!$E5,Resultate!$G5))</f>
        <v>9. Rang</v>
      </c>
      <c r="C13" s="56" t="str">
        <f>IF(B13="9. Rang","zu Hause",VLOOKUP(B13,Anmeldung!$I$2:$J$17,2,FALSE))</f>
        <v>zu Hause</v>
      </c>
    </row>
    <row r="14" spans="1:3" ht="15.75" customHeight="1">
      <c r="A14" s="6">
        <v>13</v>
      </c>
      <c r="B14" s="10" t="str">
        <f>IF(RankSeed!N16="Team 4, Gruppe B","13. Rang",RankSeed!N16)</f>
        <v>13. Rang</v>
      </c>
      <c r="C14" s="56" t="str">
        <f>IF(B14="13. Rang","zu Hause",VLOOKUP(B14,Anmeldung!$I$2:$J$17,2,FALSE))</f>
        <v>zu Hause</v>
      </c>
    </row>
    <row r="15" spans="1:3" ht="15.75" customHeight="1">
      <c r="A15" s="6">
        <v>13</v>
      </c>
      <c r="B15" s="10" t="str">
        <f>IF(RankSeed!N17="Team 4, Gruppe A","13. Rang",RankSeed!N17)</f>
        <v>13. Rang</v>
      </c>
      <c r="C15" s="56" t="str">
        <f>IF(B15="13. Rang","zu Hause",VLOOKUP(B15,Anmeldung!$I$2:$J$17,2,FALSE))</f>
        <v>zu Hause</v>
      </c>
    </row>
    <row r="16" spans="1:3" ht="15.75" customHeight="1">
      <c r="A16" s="6">
        <v>13</v>
      </c>
      <c r="B16" s="10" t="str">
        <f>IF(RankSeed!N18="Team 4, Gruppe D","13. Rang",RankSeed!N18)</f>
        <v>13. Rang</v>
      </c>
      <c r="C16" s="56" t="str">
        <f>IF(B16="13. Rang","zu Hause",VLOOKUP(B16,Anmeldung!$I$2:$J$17,2,FALSE))</f>
        <v>zu Hause</v>
      </c>
    </row>
    <row r="17" spans="1:3" ht="15.75" customHeight="1">
      <c r="A17" s="6">
        <v>13</v>
      </c>
      <c r="B17" s="10" t="str">
        <f>IF(RankSeed!N19="Team 4, Gruppe C","13. Rang",RankSeed!N19)</f>
        <v>13. Rang</v>
      </c>
      <c r="C17" s="56" t="str">
        <f>IF(B17="13. Rang","zu Hause",VLOOKUP(B17,Anmeldung!$I$2:$J$17,2,FALSE))</f>
        <v>zu Hause</v>
      </c>
    </row>
    <row r="19" ht="12.75">
      <c r="A19" s="50"/>
    </row>
  </sheetData>
  <sheetProtection selectLockedCells="1"/>
  <printOptions gridLines="1" horizontalCentered="1"/>
  <pageMargins left="0.5905511811023623" right="0.5905511811023623" top="1.5748031496062993" bottom="0.984251968503937" header="0.5118110236220472" footer="0.5118110236220472"/>
  <pageSetup horizontalDpi="300" verticalDpi="300" orientation="portrait" paperSize="9" scale="160" r:id="rId1"/>
  <headerFooter alignWithMargins="0">
    <oddHeader>&amp;C&amp;"Arial,Fett"&amp;12Rangliste 16 Teams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 Sacher</dc:creator>
  <cp:keywords/>
  <dc:description/>
  <cp:lastModifiedBy>cs</cp:lastModifiedBy>
  <cp:lastPrinted>2014-04-05T16:06:41Z</cp:lastPrinted>
  <dcterms:created xsi:type="dcterms:W3CDTF">1997-01-17T14:30:38Z</dcterms:created>
  <dcterms:modified xsi:type="dcterms:W3CDTF">2015-04-05T11:43:28Z</dcterms:modified>
  <cp:category/>
  <cp:version/>
  <cp:contentType/>
  <cp:contentStatus/>
</cp:coreProperties>
</file>