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Rangliste" sheetId="5" r:id="rId5"/>
  </sheets>
  <definedNames>
    <definedName name="_Fill" hidden="1">#REF!</definedName>
    <definedName name="_xlnm.Print_Area" localSheetId="0">'Anmeldung'!$A$1:$K$18</definedName>
    <definedName name="_xlnm.Print_Area" localSheetId="4">'Rangliste'!$A$1:$D$11</definedName>
    <definedName name="_xlnm.Print_Area" localSheetId="2">'RankSeed'!$A$1:$N$12</definedName>
    <definedName name="_xlnm.Print_Area" localSheetId="3">'Resultate'!$A$1:$K$7</definedName>
    <definedName name="_xlnm.Print_Area" localSheetId="1">'Vorrunde'!$A$1:$J$21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<sst xmlns="http://schemas.openxmlformats.org/spreadsheetml/2006/main" count="247" uniqueCount="60">
  <si>
    <t>Seed</t>
  </si>
  <si>
    <t>Player 1</t>
  </si>
  <si>
    <t>Vorname</t>
  </si>
  <si>
    <t>Individual
Ranking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</si>
  <si>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</si>
  <si>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</si>
  <si>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</si>
  <si>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</si>
  <si>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</si>
  <si>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</si>
  <si>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</si>
  <si>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</si>
  <si>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</si>
  <si>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</si>
  <si>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</si>
  <si>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</si>
  <si>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</si>
  <si>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</si>
  <si>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</si>
  <si>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</si>
  <si>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</si>
  <si>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</si>
  <si>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</si>
  <si>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</si>
  <si>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</si>
  <si>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</si>
  <si>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</si>
  <si>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</si>
  <si>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</si>
  <si>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</si>
  <si>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</si>
  <si>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</si>
  <si>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</si>
  <si>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</si>
  <si>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</si>
  <si>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</si>
  <si>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</si>
  <si>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</si>
  <si>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</si>
  <si>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</si>
  <si>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</si>
  <si>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</si>
  <si>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Bei identischen Rängen in einer Gruppe, Rang von Hand eingeben: 1. direkte Begegnung, 2. Quotient, 3. Los</t>
  </si>
  <si>
    <t>Eingabe nötig</t>
  </si>
  <si>
    <t>Eingabe erwünscht</t>
  </si>
  <si>
    <t>B4</t>
  </si>
  <si>
    <t>A4</t>
  </si>
  <si>
    <t>Zur einfacheren Bedienung wird die Aufhebung des Blattschutzes nicht empfohlen (rvz)</t>
  </si>
  <si>
    <t>Player 1/Player 2</t>
  </si>
  <si>
    <t>Player 1 / Player 2</t>
  </si>
  <si>
    <t>A5</t>
  </si>
  <si>
    <t>B5</t>
  </si>
  <si>
    <t>Result</t>
  </si>
  <si>
    <t>Time</t>
  </si>
  <si>
    <t>1. Set</t>
  </si>
  <si>
    <t>2. Set</t>
  </si>
  <si>
    <t>3. Set</t>
  </si>
  <si>
    <t>Start time</t>
  </si>
  <si>
    <t>End time</t>
  </si>
  <si>
    <t>SF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</si>
</sst>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hh:mm:ss;@"/>
    <numFmt numFmtId="199" formatCode="0.0000"/>
    <numFmt numFmtId="200" formatCode="h:mm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15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4" xfId="0" applyFont="1" applyFill="1" applyBorder="1" applyAlignment="1" applyProtection="1">
      <alignment horizontal="center" vertical="center"/>
      <protection locked="0"/>
    </xf>
    <xf numFmtId="0" fontId="4" fillId="18" borderId="3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99" fontId="0" fillId="0" borderId="25" xfId="0" applyNumberFormat="1" applyBorder="1" applyAlignment="1">
      <alignment horizontal="center"/>
    </xf>
    <xf numFmtId="199" fontId="0" fillId="0" borderId="26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20" fontId="4" fillId="7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18" borderId="39" xfId="0" applyFont="1" applyFill="1" applyBorder="1" applyAlignment="1" applyProtection="1">
      <alignment horizontal="center" vertical="center"/>
      <protection locked="0"/>
    </xf>
    <xf numFmtId="0" fontId="4" fillId="18" borderId="40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/>
      <protection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/>
      <protection locked="0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0" fontId="4" fillId="7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/>
      <protection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18" borderId="32" xfId="0" applyFont="1" applyFill="1" applyBorder="1" applyAlignment="1" applyProtection="1">
      <alignment horizontal="center" vertical="center"/>
      <protection locked="0"/>
    </xf>
    <xf numFmtId="0" fontId="4" fillId="18" borderId="23" xfId="0" applyFont="1" applyFill="1" applyBorder="1" applyAlignment="1" applyProtection="1">
      <alignment horizontal="center" vertical="center"/>
      <protection locked="0"/>
    </xf>
    <xf numFmtId="200" fontId="0" fillId="7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0" fontId="0" fillId="7" borderId="11" xfId="0" applyNumberForma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Continuous" vertical="center"/>
      <protection/>
    </xf>
    <xf numFmtId="0" fontId="5" fillId="0" borderId="46" xfId="0" applyFont="1" applyBorder="1" applyAlignment="1" applyProtection="1">
      <alignment horizontal="centerContinuous" vertical="center"/>
      <protection/>
    </xf>
    <xf numFmtId="0" fontId="5" fillId="0" borderId="47" xfId="0" applyFont="1" applyBorder="1" applyAlignment="1" applyProtection="1">
      <alignment horizontal="centerContinuous" vertical="center"/>
      <protection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Continuous" vertical="center"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Continuous" vertical="center"/>
    </xf>
    <xf numFmtId="0" fontId="5" fillId="0" borderId="51" xfId="0" applyFont="1" applyBorder="1" applyAlignment="1">
      <alignment horizontal="centerContinuous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  <protection/>
    </xf>
    <xf numFmtId="20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7" borderId="53" xfId="0" applyFont="1" applyFill="1" applyBorder="1" applyAlignment="1" applyProtection="1">
      <alignment horizontal="center" vertical="center"/>
      <protection locked="0"/>
    </xf>
    <xf numFmtId="20" fontId="4" fillId="7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18" borderId="54" xfId="0" applyFont="1" applyFill="1" applyBorder="1" applyAlignment="1" applyProtection="1">
      <alignment horizontal="center" vertical="center"/>
      <protection locked="0"/>
    </xf>
    <xf numFmtId="0" fontId="4" fillId="18" borderId="55" xfId="0" applyFont="1" applyFill="1" applyBorder="1" applyAlignment="1" applyProtection="1">
      <alignment horizontal="center" vertical="center"/>
      <protection locked="0"/>
    </xf>
    <xf numFmtId="0" fontId="4" fillId="7" borderId="54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4.421875" style="2" customWidth="1"/>
    <col min="5" max="5" width="13.140625" style="0" customWidth="1"/>
    <col min="6" max="6" width="10.7109375" style="2" customWidth="1"/>
    <col min="7" max="7" width="4.1406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hidden="1" customWidth="1"/>
    <col min="13" max="14" width="14.57421875" style="0" hidden="1" customWidth="1"/>
    <col min="15" max="16384" width="8.7109375" style="0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2</v>
      </c>
      <c r="G1" s="14" t="s">
        <v>3</v>
      </c>
      <c r="H1" s="14" t="s">
        <v>5</v>
      </c>
      <c r="I1" s="15" t="s">
        <v>6</v>
      </c>
      <c r="J1" s="14" t="s">
        <v>7</v>
      </c>
      <c r="K1" s="33" t="s">
        <v>8</v>
      </c>
      <c r="L1" s="122" t="s">
        <v>0</v>
      </c>
      <c r="M1" s="99" t="s">
        <v>6</v>
      </c>
      <c r="N1" s="102" t="s">
        <v>48</v>
      </c>
    </row>
    <row r="2" spans="1:14" s="11" customFormat="1" ht="13.5" customHeight="1" thickTop="1">
      <c r="A2" s="6">
        <v>1</v>
      </c>
      <c r="B2" s="96"/>
      <c r="C2" s="94"/>
      <c r="D2" s="64"/>
      <c r="E2" s="96"/>
      <c r="F2" s="94"/>
      <c r="G2" s="66"/>
      <c r="H2" s="62"/>
      <c r="I2" s="4" t="str">
        <f>CONCATENATE($B$2," / ",$E$2)</f>
        <v> / </v>
      </c>
      <c r="J2" s="94"/>
      <c r="K2" s="34">
        <f>$D$2+$G$2</f>
        <v>0</v>
      </c>
      <c r="L2" s="36">
        <v>1</v>
      </c>
      <c r="M2" s="100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97"/>
      <c r="C3" s="95"/>
      <c r="D3" s="65"/>
      <c r="E3" s="97"/>
      <c r="F3" s="95"/>
      <c r="G3" s="67"/>
      <c r="H3" s="63"/>
      <c r="I3" s="5" t="str">
        <f>CONCATENATE($B$3," / ",$E$3)</f>
        <v> / </v>
      </c>
      <c r="J3" s="95"/>
      <c r="K3" s="35">
        <f>$D$3+$G$3</f>
        <v>0</v>
      </c>
      <c r="L3" s="8">
        <v>2</v>
      </c>
      <c r="M3" s="101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97"/>
      <c r="C4" s="95"/>
      <c r="D4" s="65"/>
      <c r="E4" s="97"/>
      <c r="F4" s="95"/>
      <c r="G4" s="67"/>
      <c r="H4" s="63"/>
      <c r="I4" s="5" t="str">
        <f>CONCATENATE($B$4," / ",$E$4)</f>
        <v> / </v>
      </c>
      <c r="J4" s="95"/>
      <c r="K4" s="35">
        <f>$D$4+$G$4</f>
        <v>0</v>
      </c>
      <c r="L4" s="36">
        <v>3</v>
      </c>
      <c r="M4" s="101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97"/>
      <c r="C5" s="95"/>
      <c r="D5" s="65"/>
      <c r="E5" s="97"/>
      <c r="F5" s="95"/>
      <c r="G5" s="67"/>
      <c r="H5" s="63"/>
      <c r="I5" s="5" t="str">
        <f>CONCATENATE($B$5," / ",$E$5)</f>
        <v> / </v>
      </c>
      <c r="J5" s="95"/>
      <c r="K5" s="35">
        <f>$D$5+$G$5</f>
        <v>0</v>
      </c>
      <c r="L5" s="8">
        <v>4</v>
      </c>
      <c r="M5" s="101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97"/>
      <c r="C6" s="95"/>
      <c r="D6" s="65"/>
      <c r="E6" s="97"/>
      <c r="F6" s="95"/>
      <c r="G6" s="67"/>
      <c r="H6" s="63"/>
      <c r="I6" s="5" t="str">
        <f>CONCATENATE($B$6," / ",$E$6)</f>
        <v> / </v>
      </c>
      <c r="J6" s="95"/>
      <c r="K6" s="35">
        <f>$D$6+$G$6</f>
        <v>0</v>
      </c>
      <c r="L6" s="36">
        <v>5</v>
      </c>
      <c r="M6" s="101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97"/>
      <c r="C7" s="95"/>
      <c r="D7" s="65"/>
      <c r="E7" s="97"/>
      <c r="F7" s="95"/>
      <c r="G7" s="67"/>
      <c r="H7" s="63"/>
      <c r="I7" s="5" t="str">
        <f>CONCATENATE($B$7," / ",$E$7)</f>
        <v> / </v>
      </c>
      <c r="J7" s="95"/>
      <c r="K7" s="35">
        <f>$D$7+$G$7</f>
        <v>0</v>
      </c>
      <c r="L7" s="8">
        <v>6</v>
      </c>
      <c r="M7" s="101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97"/>
      <c r="C8" s="95"/>
      <c r="D8" s="65"/>
      <c r="E8" s="97"/>
      <c r="F8" s="95"/>
      <c r="G8" s="67"/>
      <c r="H8" s="63"/>
      <c r="I8" s="5" t="str">
        <f>CONCATENATE($B$8," / ",$E$8)</f>
        <v> / </v>
      </c>
      <c r="J8" s="95"/>
      <c r="K8" s="35">
        <f>$D$8+$G$8</f>
        <v>0</v>
      </c>
      <c r="L8" s="36">
        <v>7</v>
      </c>
      <c r="M8" s="101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97"/>
      <c r="C9" s="95"/>
      <c r="D9" s="65"/>
      <c r="E9" s="97"/>
      <c r="F9" s="95"/>
      <c r="G9" s="67"/>
      <c r="H9" s="63"/>
      <c r="I9" s="5" t="str">
        <f>CONCATENATE($B$9," / ",$E$9)</f>
        <v> / </v>
      </c>
      <c r="J9" s="95"/>
      <c r="K9" s="35">
        <f>$D$9+$G$9</f>
        <v>0</v>
      </c>
      <c r="L9" s="8">
        <v>8</v>
      </c>
      <c r="M9" s="101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97"/>
      <c r="C10" s="95"/>
      <c r="D10" s="65"/>
      <c r="E10" s="97"/>
      <c r="F10" s="95"/>
      <c r="G10" s="67"/>
      <c r="H10" s="63"/>
      <c r="I10" s="5" t="str">
        <f>CONCATENATE($B$10," / ",$E$10)</f>
        <v> / </v>
      </c>
      <c r="J10" s="95"/>
      <c r="K10" s="35">
        <f>$D$10+$G$10</f>
        <v>0</v>
      </c>
      <c r="L10" s="36">
        <v>9</v>
      </c>
      <c r="M10" s="101" t="str">
        <f>CONCATENATE($B$10," / ",$E$10)</f>
        <v> / </v>
      </c>
      <c r="N10" s="5" t="str">
        <f>CONCATENATE($C$10," ",$B$10," / ",$F$10," ",$E$10)</f>
        <v>  /  </v>
      </c>
    </row>
    <row r="11" spans="1:14" s="11" customFormat="1" ht="13.5" customHeight="1">
      <c r="A11" s="7">
        <v>10</v>
      </c>
      <c r="B11" s="97"/>
      <c r="C11" s="95"/>
      <c r="D11" s="65"/>
      <c r="E11" s="97"/>
      <c r="F11" s="95"/>
      <c r="G11" s="67"/>
      <c r="H11" s="63"/>
      <c r="I11" s="5" t="str">
        <f>CONCATENATE($B$11," / ",$E$11)</f>
        <v> / </v>
      </c>
      <c r="J11" s="95"/>
      <c r="K11" s="35">
        <f>$D$11+$G$11</f>
        <v>0</v>
      </c>
      <c r="L11" s="8">
        <v>10</v>
      </c>
      <c r="M11" s="101" t="str">
        <f>CONCATENATE($B$11," / ",$E$11)</f>
        <v> / </v>
      </c>
      <c r="N11" s="5" t="str">
        <f>CONCATENATE($C$11," ",$B$11," / ",$F$11," ",$E$11)</f>
        <v>  /  </v>
      </c>
    </row>
    <row r="13" spans="1:11" ht="12.75">
      <c r="A13" s="27"/>
      <c r="B13" s="154" t="s">
        <v>24</v>
      </c>
      <c r="C13" s="155"/>
      <c r="D13" s="156" t="s">
        <v>25</v>
      </c>
      <c r="E13" s="154"/>
      <c r="F13" s="155"/>
      <c r="G13" s="153"/>
      <c r="H13" s="153"/>
      <c r="I13" s="153"/>
      <c r="J13" s="153"/>
      <c r="K13" s="153"/>
    </row>
    <row r="14" spans="1:11" ht="12.75">
      <c r="A14" s="28">
        <v>1</v>
      </c>
      <c r="B14" s="150" t="str">
        <f>IF(I2=" / ","Team 1, Gruppe A",I2)</f>
        <v>Team 1, Gruppe A</v>
      </c>
      <c r="C14" s="151"/>
      <c r="D14" s="152" t="str">
        <f>IF(I3=" / ","Team 1, Gruppe B",I3)</f>
        <v>Team 1, Gruppe B</v>
      </c>
      <c r="E14" s="150"/>
      <c r="F14" s="151"/>
      <c r="G14" s="150"/>
      <c r="H14" s="150"/>
      <c r="I14" s="150"/>
      <c r="J14" s="150"/>
      <c r="K14" s="150"/>
    </row>
    <row r="15" spans="1:11" ht="12.75">
      <c r="A15" s="28">
        <v>2</v>
      </c>
      <c r="B15" s="150" t="str">
        <f>IF(I4=" / ","Team 2, Gruppe A",I4)</f>
        <v>Team 2, Gruppe A</v>
      </c>
      <c r="C15" s="151"/>
      <c r="D15" s="152" t="str">
        <f>IF(I5=" / ","Team 2, Gruppe B",I5)</f>
        <v>Team 2, Gruppe B</v>
      </c>
      <c r="E15" s="150"/>
      <c r="F15" s="151"/>
      <c r="G15" s="150"/>
      <c r="H15" s="150"/>
      <c r="I15" s="150"/>
      <c r="J15" s="150"/>
      <c r="K15" s="150"/>
    </row>
    <row r="16" spans="1:11" ht="12.75">
      <c r="A16" s="28">
        <v>3</v>
      </c>
      <c r="B16" s="150" t="str">
        <f>IF(I6=" / ","Team 3, Gruppe A",I6)</f>
        <v>Team 3, Gruppe A</v>
      </c>
      <c r="C16" s="151"/>
      <c r="D16" s="152" t="str">
        <f>IF(I7=" / ","Team 3, Gruppe B",I7)</f>
        <v>Team 3, Gruppe B</v>
      </c>
      <c r="E16" s="150"/>
      <c r="F16" s="151"/>
      <c r="G16" s="150"/>
      <c r="H16" s="150"/>
      <c r="I16" s="150"/>
      <c r="J16" s="150"/>
      <c r="K16" s="150"/>
    </row>
    <row r="17" spans="1:11" ht="12.75">
      <c r="A17" s="28">
        <v>4</v>
      </c>
      <c r="B17" s="150" t="str">
        <f>IF(I8=" / ","Team 4, Gruppe A",I8)</f>
        <v>Team 4, Gruppe A</v>
      </c>
      <c r="C17" s="151"/>
      <c r="D17" s="152" t="str">
        <f>IF(I9=" / ","Team 4, Gruppe B",I9)</f>
        <v>Team 4, Gruppe B</v>
      </c>
      <c r="E17" s="150"/>
      <c r="F17" s="151"/>
      <c r="G17" s="150"/>
      <c r="H17" s="150"/>
      <c r="I17" s="150"/>
      <c r="J17" s="150"/>
      <c r="K17" s="150"/>
    </row>
    <row r="18" spans="1:11" ht="12.75">
      <c r="A18" s="29">
        <v>5</v>
      </c>
      <c r="B18" s="157" t="str">
        <f>IF(I10=" / ","Team 5, Gruppe A",I10)</f>
        <v>Team 5, Gruppe A</v>
      </c>
      <c r="C18" s="158"/>
      <c r="D18" s="159" t="str">
        <f>IF(I11=" / ","Team 5, Gruppe B",I11)</f>
        <v>Team 5, Gruppe B</v>
      </c>
      <c r="E18" s="157"/>
      <c r="F18" s="158"/>
      <c r="G18" s="150"/>
      <c r="H18" s="150"/>
      <c r="I18" s="150"/>
      <c r="J18" s="150"/>
      <c r="K18" s="150"/>
    </row>
    <row r="20" spans="1:5" ht="12.75">
      <c r="A20" s="72" t="s">
        <v>43</v>
      </c>
      <c r="B20" s="73"/>
      <c r="D20" s="74" t="s">
        <v>44</v>
      </c>
      <c r="E20" s="55"/>
    </row>
    <row r="21" ht="12.75">
      <c r="A21" s="71"/>
    </row>
  </sheetData>
  <sheetProtection formatCells="0" formatColumns="0" formatRows="0" selectLockedCells="1"/>
  <mergeCells count="24">
    <mergeCell ref="B18:C18"/>
    <mergeCell ref="D18:F18"/>
    <mergeCell ref="G18:I18"/>
    <mergeCell ref="J18:K18"/>
    <mergeCell ref="B16:C16"/>
    <mergeCell ref="B13:C13"/>
    <mergeCell ref="D13:F13"/>
    <mergeCell ref="D14:F14"/>
    <mergeCell ref="D15:F15"/>
    <mergeCell ref="B14:C14"/>
    <mergeCell ref="B15:C15"/>
    <mergeCell ref="D16:F16"/>
    <mergeCell ref="G13:I13"/>
    <mergeCell ref="G14:I14"/>
    <mergeCell ref="G15:I15"/>
    <mergeCell ref="G16:I16"/>
    <mergeCell ref="J13:K13"/>
    <mergeCell ref="J14:K14"/>
    <mergeCell ref="J15:K15"/>
    <mergeCell ref="J16:K16"/>
    <mergeCell ref="B17:C17"/>
    <mergeCell ref="D17:F17"/>
    <mergeCell ref="G17:I17"/>
    <mergeCell ref="J17:K17"/>
  </mergeCells>
  <printOptions horizontalCentered="1" verticalCentered="1"/>
  <pageMargins left="0.61" right="0.59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&amp;CAnmeldungen 10 Teams
2 Gruppen à 5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E34" sqref="E34"/>
    </sheetView>
  </sheetViews>
  <sheetFormatPr defaultColWidth="11.42187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9</v>
      </c>
      <c r="B1" s="18" t="s">
        <v>26</v>
      </c>
      <c r="C1" s="18" t="s">
        <v>11</v>
      </c>
      <c r="D1" s="18" t="s">
        <v>39</v>
      </c>
      <c r="E1" s="13" t="s">
        <v>12</v>
      </c>
      <c r="F1" s="13" t="s">
        <v>13</v>
      </c>
      <c r="G1" s="13" t="s">
        <v>14</v>
      </c>
      <c r="H1" s="127" t="s">
        <v>15</v>
      </c>
      <c r="I1" s="131"/>
      <c r="J1" s="132"/>
      <c r="K1" s="16" t="s">
        <v>16</v>
      </c>
      <c r="L1" s="23" t="s">
        <v>22</v>
      </c>
      <c r="M1" s="24"/>
      <c r="N1" s="25"/>
      <c r="O1" s="23" t="s">
        <v>23</v>
      </c>
      <c r="P1" s="24"/>
      <c r="Q1" s="25"/>
      <c r="R1" s="123" t="s">
        <v>56</v>
      </c>
      <c r="S1" s="124"/>
      <c r="T1" s="125"/>
    </row>
    <row r="2" spans="1:21" ht="18" customHeight="1" thickTop="1">
      <c r="A2" s="9">
        <v>1</v>
      </c>
      <c r="B2" s="19" t="s">
        <v>27</v>
      </c>
      <c r="C2" s="76">
        <v>1</v>
      </c>
      <c r="D2" s="104"/>
      <c r="E2" s="10" t="str">
        <f>IF(Anmeldung!B15="/",CONCATENATE("Gruppe A Team #",Anmeldung!A15),Anmeldung!B15)</f>
        <v>Team 2, Gruppe A</v>
      </c>
      <c r="F2" s="10" t="s">
        <v>13</v>
      </c>
      <c r="G2" s="10" t="str">
        <f>IF(Anmeldung!B18="/",CONCATENATE("Gruppe A Team #",Anmeldung!A18),Anmeldung!B18)</f>
        <v>Team 5, Gruppe A</v>
      </c>
      <c r="H2" s="133">
        <f aca="true" t="shared" si="0" ref="H2:H19">IF(L2=N2,"",SUM(IF(L2&gt;N2,1,0),IF(O2&gt;Q2,1,0),IF(R2&lt;=T2,0,1)))</f>
      </c>
      <c r="I2" s="45" t="s">
        <v>18</v>
      </c>
      <c r="J2" s="121">
        <f aca="true" t="shared" si="1" ref="J2:J19">IF(L2=N2,"",SUM(IF(L2&lt;N2,1,0),IF(O2&lt;Q2,1,0),IF(R2&gt;=T2,0,1)))</f>
      </c>
      <c r="K2" s="75"/>
      <c r="L2" s="46"/>
      <c r="M2" s="10" t="s">
        <v>18</v>
      </c>
      <c r="N2" s="47"/>
      <c r="O2" s="46"/>
      <c r="P2" s="10" t="s">
        <v>18</v>
      </c>
      <c r="Q2" s="47"/>
      <c r="R2" s="126"/>
      <c r="S2" s="45" t="s">
        <v>18</v>
      </c>
      <c r="T2" s="117"/>
      <c r="U2"/>
    </row>
    <row r="3" spans="1:21" ht="18" customHeight="1">
      <c r="A3" s="9">
        <f>SUM(A2,1)</f>
        <v>2</v>
      </c>
      <c r="B3" s="19" t="s">
        <v>28</v>
      </c>
      <c r="C3" s="76">
        <v>2</v>
      </c>
      <c r="D3" s="77"/>
      <c r="E3" s="10" t="str">
        <f>IF(Anmeldung!D15="/",CONCATENATE("Gruppe B Team #",Anmeldung!A15),Anmeldung!D15)</f>
        <v>Team 2, Gruppe B</v>
      </c>
      <c r="F3" s="10" t="s">
        <v>13</v>
      </c>
      <c r="G3" s="10" t="str">
        <f>IF(Anmeldung!D18="/",CONCATENATE("Gruppe B Team #",Anmeldung!A18),Anmeldung!D18)</f>
        <v>Team 5, Gruppe B</v>
      </c>
      <c r="H3" s="133">
        <f t="shared" si="0"/>
      </c>
      <c r="I3" s="45" t="s">
        <v>18</v>
      </c>
      <c r="J3" s="121">
        <f t="shared" si="1"/>
      </c>
      <c r="K3" s="75"/>
      <c r="L3" s="46"/>
      <c r="M3" s="10" t="s">
        <v>18</v>
      </c>
      <c r="N3" s="47"/>
      <c r="O3" s="46"/>
      <c r="P3" s="10" t="s">
        <v>18</v>
      </c>
      <c r="Q3" s="47"/>
      <c r="R3" s="126"/>
      <c r="S3" s="45" t="s">
        <v>18</v>
      </c>
      <c r="T3" s="117"/>
      <c r="U3"/>
    </row>
    <row r="4" spans="1:21" ht="18" customHeight="1">
      <c r="A4" s="9">
        <f aca="true" t="shared" si="2" ref="A4:A21">SUM(A3,1)</f>
        <v>3</v>
      </c>
      <c r="B4" s="19" t="s">
        <v>27</v>
      </c>
      <c r="C4" s="76"/>
      <c r="D4" s="104"/>
      <c r="E4" s="10" t="str">
        <f>IF(Anmeldung!B14=" / ",CONCATENATE("Gruppe A Team #",Anmeldung!A14),Anmeldung!B14)</f>
        <v>Team 1, Gruppe A</v>
      </c>
      <c r="F4" s="10" t="s">
        <v>13</v>
      </c>
      <c r="G4" s="10" t="str">
        <f>IF(Anmeldung!B16="/",CONCATENATE("Gruppe A Team #",Anmeldung!A16),Anmeldung!B16)</f>
        <v>Team 3, Gruppe A</v>
      </c>
      <c r="H4" s="133">
        <f>IF(L4=N4,"",SUM(IF(L4&gt;N4,1,0),IF(O4&gt;Q4,1,0),IF(R4&lt;=T4,0,1)))</f>
      </c>
      <c r="I4" s="45" t="s">
        <v>18</v>
      </c>
      <c r="J4" s="121">
        <f>IF(L4=N4,"",SUM(IF(L4&lt;N4,1,0),IF(O4&lt;Q4,1,0),IF(R4&gt;=T4,0,1)))</f>
      </c>
      <c r="K4" s="75"/>
      <c r="L4" s="46"/>
      <c r="M4" s="10" t="s">
        <v>18</v>
      </c>
      <c r="N4" s="47"/>
      <c r="O4" s="46"/>
      <c r="P4" s="10" t="s">
        <v>18</v>
      </c>
      <c r="Q4" s="47"/>
      <c r="R4" s="126"/>
      <c r="S4" s="45" t="s">
        <v>18</v>
      </c>
      <c r="T4" s="117"/>
      <c r="U4"/>
    </row>
    <row r="5" spans="1:21" ht="18" customHeight="1">
      <c r="A5" s="9">
        <f t="shared" si="2"/>
        <v>4</v>
      </c>
      <c r="B5" s="19" t="s">
        <v>28</v>
      </c>
      <c r="C5" s="76"/>
      <c r="D5" s="77"/>
      <c r="E5" s="10" t="str">
        <f>IF(Anmeldung!D14=" / ",CONCATENATE("Gruppe B Team #",Anmeldung!A14),Anmeldung!D14)</f>
        <v>Team 1, Gruppe B</v>
      </c>
      <c r="F5" s="10" t="s">
        <v>13</v>
      </c>
      <c r="G5" s="10" t="str">
        <f>IF(Anmeldung!D16="/",CONCATENATE("Gruppe B Team #",Anmeldung!A16),Anmeldung!D16)</f>
        <v>Team 3, Gruppe B</v>
      </c>
      <c r="H5" s="133">
        <f>IF(L5=N5,"",SUM(IF(L5&gt;N5,1,0),IF(O5&gt;Q5,1,0),IF(R5&lt;=T5,0,1)))</f>
      </c>
      <c r="I5" s="45" t="s">
        <v>18</v>
      </c>
      <c r="J5" s="121">
        <f>IF(L5=N5,"",SUM(IF(L5&lt;N5,1,0),IF(O5&lt;Q5,1,0),IF(R5&gt;=T5,0,1)))</f>
      </c>
      <c r="K5" s="75"/>
      <c r="L5" s="46"/>
      <c r="M5" s="10" t="s">
        <v>18</v>
      </c>
      <c r="N5" s="47"/>
      <c r="O5" s="46"/>
      <c r="P5" s="10" t="s">
        <v>18</v>
      </c>
      <c r="Q5" s="47"/>
      <c r="R5" s="126"/>
      <c r="S5" s="45" t="s">
        <v>18</v>
      </c>
      <c r="T5" s="117"/>
      <c r="U5"/>
    </row>
    <row r="6" spans="1:21" ht="18" customHeight="1">
      <c r="A6" s="9">
        <f t="shared" si="2"/>
        <v>5</v>
      </c>
      <c r="B6" s="19" t="s">
        <v>27</v>
      </c>
      <c r="C6" s="76"/>
      <c r="D6" s="104"/>
      <c r="E6" s="10" t="str">
        <f>IF(Anmeldung!B17="/",CONCATENATE("Gruppe A Team #",Anmeldung!A17),Anmeldung!B17)</f>
        <v>Team 4, Gruppe A</v>
      </c>
      <c r="F6" s="10" t="s">
        <v>13</v>
      </c>
      <c r="G6" s="10" t="str">
        <f>IF(Anmeldung!B18="/",CONCATENATE("Gruppe A Team #",Anmeldung!A18),Anmeldung!B18)</f>
        <v>Team 5, Gruppe A</v>
      </c>
      <c r="H6" s="133">
        <f t="shared" si="0"/>
      </c>
      <c r="I6" s="45" t="s">
        <v>18</v>
      </c>
      <c r="J6" s="121">
        <f t="shared" si="1"/>
      </c>
      <c r="K6" s="75"/>
      <c r="L6" s="46"/>
      <c r="M6" s="10" t="s">
        <v>18</v>
      </c>
      <c r="N6" s="47"/>
      <c r="O6" s="46"/>
      <c r="P6" s="10" t="s">
        <v>18</v>
      </c>
      <c r="Q6" s="47"/>
      <c r="R6" s="126"/>
      <c r="S6" s="45" t="s">
        <v>18</v>
      </c>
      <c r="T6" s="117"/>
      <c r="U6"/>
    </row>
    <row r="7" spans="1:21" ht="18" customHeight="1">
      <c r="A7" s="9">
        <f t="shared" si="2"/>
        <v>6</v>
      </c>
      <c r="B7" s="19" t="s">
        <v>28</v>
      </c>
      <c r="C7" s="76"/>
      <c r="D7" s="77"/>
      <c r="E7" s="10" t="str">
        <f>IF(Anmeldung!D17="/",CONCATENATE("Gruppe B Team #",Anmeldung!A17),Anmeldung!D17)</f>
        <v>Team 4, Gruppe B</v>
      </c>
      <c r="F7" s="10" t="s">
        <v>13</v>
      </c>
      <c r="G7" s="10" t="str">
        <f>IF(Anmeldung!D18="/",CONCATENATE("Gruppe B Team #",Anmeldung!A18),Anmeldung!D18)</f>
        <v>Team 5, Gruppe B</v>
      </c>
      <c r="H7" s="133">
        <f t="shared" si="0"/>
      </c>
      <c r="I7" s="45" t="s">
        <v>18</v>
      </c>
      <c r="J7" s="121">
        <f t="shared" si="1"/>
      </c>
      <c r="K7" s="75"/>
      <c r="L7" s="46"/>
      <c r="M7" s="10" t="s">
        <v>18</v>
      </c>
      <c r="N7" s="47"/>
      <c r="O7" s="46"/>
      <c r="P7" s="10" t="s">
        <v>18</v>
      </c>
      <c r="Q7" s="47"/>
      <c r="R7" s="126"/>
      <c r="S7" s="45" t="s">
        <v>18</v>
      </c>
      <c r="T7" s="117"/>
      <c r="U7"/>
    </row>
    <row r="8" spans="1:21" ht="18" customHeight="1">
      <c r="A8" s="9">
        <f t="shared" si="2"/>
        <v>7</v>
      </c>
      <c r="B8" s="79" t="s">
        <v>27</v>
      </c>
      <c r="C8" s="80"/>
      <c r="D8" s="104"/>
      <c r="E8" s="26" t="str">
        <f>IF(Anmeldung!B15="/",CONCATENATE("Gruppe A Team #",Anmeldung!A15),Anmeldung!B15)</f>
        <v>Team 2, Gruppe A</v>
      </c>
      <c r="F8" s="26" t="s">
        <v>13</v>
      </c>
      <c r="G8" s="26" t="str">
        <f>IF(Anmeldung!B16="/",CONCATENATE("Gruppe A Team #",Anmeldung!A16),Anmeldung!B16)</f>
        <v>Team 3, Gruppe A</v>
      </c>
      <c r="H8" s="133">
        <f>IF(L8=N8,"",SUM(IF(L8&gt;N8,1,0),IF(O8&gt;Q8,1,0),IF(R8&lt;=T8,0,1)))</f>
      </c>
      <c r="I8" s="45" t="s">
        <v>18</v>
      </c>
      <c r="J8" s="121">
        <f>IF(L8=N8,"",SUM(IF(L8&lt;N8,1,0),IF(O8&lt;Q8,1,0),IF(R8&gt;=T8,0,1)))</f>
      </c>
      <c r="K8" s="82"/>
      <c r="L8" s="83"/>
      <c r="M8" s="26" t="s">
        <v>18</v>
      </c>
      <c r="N8" s="84"/>
      <c r="O8" s="83"/>
      <c r="P8" s="26" t="s">
        <v>18</v>
      </c>
      <c r="Q8" s="84"/>
      <c r="R8" s="126"/>
      <c r="S8" s="45" t="s">
        <v>18</v>
      </c>
      <c r="T8" s="117"/>
      <c r="U8"/>
    </row>
    <row r="9" spans="1:26" s="21" customFormat="1" ht="18" customHeight="1" thickBot="1">
      <c r="A9" s="9">
        <f t="shared" si="2"/>
        <v>8</v>
      </c>
      <c r="B9" s="19" t="s">
        <v>28</v>
      </c>
      <c r="C9" s="76"/>
      <c r="D9" s="77"/>
      <c r="E9" s="10" t="str">
        <f>IF(Anmeldung!D15="/",CONCATENATE("Gruppe B Team #",Anmeldung!A15),Anmeldung!D15)</f>
        <v>Team 2, Gruppe B</v>
      </c>
      <c r="F9" s="10" t="s">
        <v>13</v>
      </c>
      <c r="G9" s="10" t="str">
        <f>IF(Anmeldung!D16="/",CONCATENATE("Gruppe B Team #",Anmeldung!A16),Anmeldung!D16)</f>
        <v>Team 3, Gruppe B</v>
      </c>
      <c r="H9" s="133">
        <f>IF(L9=N9,"",SUM(IF(L9&gt;N9,1,0),IF(O9&gt;Q9,1,0),IF(R9&lt;=T9,0,1)))</f>
      </c>
      <c r="I9" s="45" t="s">
        <v>18</v>
      </c>
      <c r="J9" s="121">
        <f>IF(L9=N9,"",SUM(IF(L9&lt;N9,1,0),IF(O9&lt;Q9,1,0),IF(R9&gt;=T9,0,1)))</f>
      </c>
      <c r="K9" s="75"/>
      <c r="L9" s="46"/>
      <c r="M9" s="10" t="s">
        <v>18</v>
      </c>
      <c r="N9" s="47"/>
      <c r="O9" s="46"/>
      <c r="P9" s="10" t="s">
        <v>18</v>
      </c>
      <c r="Q9" s="47"/>
      <c r="R9" s="126"/>
      <c r="S9" s="45" t="s">
        <v>18</v>
      </c>
      <c r="T9" s="117"/>
      <c r="U9" s="20"/>
      <c r="V9" s="22"/>
      <c r="W9" s="22"/>
      <c r="X9" s="22"/>
      <c r="Y9" s="22"/>
      <c r="Z9" s="22"/>
    </row>
    <row r="10" spans="1:21" ht="18" customHeight="1">
      <c r="A10" s="9">
        <f t="shared" si="2"/>
        <v>9</v>
      </c>
      <c r="B10" s="19" t="s">
        <v>27</v>
      </c>
      <c r="C10" s="76"/>
      <c r="D10" s="104"/>
      <c r="E10" s="10" t="str">
        <f>IF(Anmeldung!B14=" / ",CONCATENATE("Gruppe A Team #",Anmeldung!A14),Anmeldung!B14)</f>
        <v>Team 1, Gruppe A</v>
      </c>
      <c r="F10" s="10" t="s">
        <v>13</v>
      </c>
      <c r="G10" s="10" t="str">
        <f>IF(Anmeldung!B17="/",CONCATENATE("Gruppe A Team #",Anmeldung!A17),Anmeldung!B17)</f>
        <v>Team 4, Gruppe A</v>
      </c>
      <c r="H10" s="133">
        <f t="shared" si="0"/>
      </c>
      <c r="I10" s="45" t="s">
        <v>18</v>
      </c>
      <c r="J10" s="121">
        <f t="shared" si="1"/>
      </c>
      <c r="K10" s="75"/>
      <c r="L10" s="46"/>
      <c r="M10" s="10" t="s">
        <v>18</v>
      </c>
      <c r="N10" s="47"/>
      <c r="O10" s="46"/>
      <c r="P10" s="10" t="s">
        <v>18</v>
      </c>
      <c r="Q10" s="47"/>
      <c r="R10" s="126"/>
      <c r="S10" s="45" t="s">
        <v>18</v>
      </c>
      <c r="T10" s="117"/>
      <c r="U10"/>
    </row>
    <row r="11" spans="1:26" s="21" customFormat="1" ht="18" customHeight="1" thickBot="1">
      <c r="A11" s="9">
        <f t="shared" si="2"/>
        <v>10</v>
      </c>
      <c r="B11" s="19" t="s">
        <v>28</v>
      </c>
      <c r="C11" s="76"/>
      <c r="D11" s="104"/>
      <c r="E11" s="10" t="str">
        <f>IF(Anmeldung!D14=" / ",CONCATENATE("Gruppe B Team #",Anmeldung!A14),Anmeldung!D14)</f>
        <v>Team 1, Gruppe B</v>
      </c>
      <c r="F11" s="10" t="s">
        <v>13</v>
      </c>
      <c r="G11" s="10" t="str">
        <f>IF(Anmeldung!D17="/",CONCATENATE("Gruppe B Team #",Anmeldung!A17),Anmeldung!D17)</f>
        <v>Team 4, Gruppe B</v>
      </c>
      <c r="H11" s="133">
        <f t="shared" si="0"/>
      </c>
      <c r="I11" s="45" t="s">
        <v>18</v>
      </c>
      <c r="J11" s="121">
        <f t="shared" si="1"/>
      </c>
      <c r="K11" s="75"/>
      <c r="L11" s="46"/>
      <c r="M11" s="10" t="s">
        <v>18</v>
      </c>
      <c r="N11" s="47"/>
      <c r="O11" s="46"/>
      <c r="P11" s="10" t="s">
        <v>18</v>
      </c>
      <c r="Q11" s="47"/>
      <c r="R11" s="126"/>
      <c r="S11" s="45" t="s">
        <v>18</v>
      </c>
      <c r="T11" s="117"/>
      <c r="U11" s="20"/>
      <c r="V11" s="22"/>
      <c r="W11" s="22"/>
      <c r="X11" s="22"/>
      <c r="Y11" s="22"/>
      <c r="Z11" s="22"/>
    </row>
    <row r="12" spans="1:21" ht="18" customHeight="1">
      <c r="A12" s="9">
        <f t="shared" si="2"/>
        <v>11</v>
      </c>
      <c r="B12" s="19" t="s">
        <v>27</v>
      </c>
      <c r="C12" s="76"/>
      <c r="D12" s="104"/>
      <c r="E12" s="10" t="str">
        <f>IF(Anmeldung!B16="/",CONCATENATE("Gruppe A Team #",Anmeldung!A16),Anmeldung!B16)</f>
        <v>Team 3, Gruppe A</v>
      </c>
      <c r="F12" s="10" t="s">
        <v>13</v>
      </c>
      <c r="G12" s="10" t="str">
        <f>IF(Anmeldung!B18="/",CONCATENATE("Gruppe A Team #",Anmeldung!A18),Anmeldung!B18)</f>
        <v>Team 5, Gruppe A</v>
      </c>
      <c r="H12" s="133">
        <f>IF(L12=N12,"",SUM(IF(L12&gt;N12,1,0),IF(O12&gt;Q12,1,0),IF(R12&lt;=T12,0,1)))</f>
      </c>
      <c r="I12" s="45" t="s">
        <v>18</v>
      </c>
      <c r="J12" s="121">
        <f>IF(L12=N12,"",SUM(IF(L12&lt;N12,1,0),IF(O12&lt;Q12,1,0),IF(R12&gt;=T12,0,1)))</f>
      </c>
      <c r="K12" s="75"/>
      <c r="L12" s="46"/>
      <c r="M12" s="10" t="s">
        <v>18</v>
      </c>
      <c r="N12" s="47"/>
      <c r="O12" s="46"/>
      <c r="P12" s="10" t="s">
        <v>18</v>
      </c>
      <c r="Q12" s="47"/>
      <c r="R12" s="126"/>
      <c r="S12" s="45" t="s">
        <v>18</v>
      </c>
      <c r="T12" s="117"/>
      <c r="U12"/>
    </row>
    <row r="13" spans="1:21" ht="18" customHeight="1">
      <c r="A13" s="9">
        <f t="shared" si="2"/>
        <v>12</v>
      </c>
      <c r="B13" s="19" t="s">
        <v>28</v>
      </c>
      <c r="C13" s="76"/>
      <c r="D13" s="77"/>
      <c r="E13" s="10" t="str">
        <f>IF(Anmeldung!D16="/",CONCATENATE("Gruppe B Team #",Anmeldung!A16),Anmeldung!D16)</f>
        <v>Team 3, Gruppe B</v>
      </c>
      <c r="F13" s="10" t="s">
        <v>13</v>
      </c>
      <c r="G13" s="10" t="str">
        <f>IF(Anmeldung!D18="/",CONCATENATE("Gruppe B Team #",Anmeldung!A18),Anmeldung!D18)</f>
        <v>Team 5, Gruppe B</v>
      </c>
      <c r="H13" s="133">
        <f>IF(L13=N13,"",SUM(IF(L13&gt;N13,1,0),IF(O13&gt;Q13,1,0),IF(R13&lt;=T13,0,1)))</f>
      </c>
      <c r="I13" s="45" t="s">
        <v>18</v>
      </c>
      <c r="J13" s="121">
        <f>IF(L13=N13,"",SUM(IF(L13&lt;N13,1,0),IF(O13&lt;Q13,1,0),IF(R13&gt;=T13,0,1)))</f>
      </c>
      <c r="K13" s="75"/>
      <c r="L13" s="46"/>
      <c r="M13" s="10" t="s">
        <v>18</v>
      </c>
      <c r="N13" s="47"/>
      <c r="O13" s="46"/>
      <c r="P13" s="10" t="s">
        <v>18</v>
      </c>
      <c r="Q13" s="47"/>
      <c r="R13" s="126"/>
      <c r="S13" s="45" t="s">
        <v>18</v>
      </c>
      <c r="T13" s="117"/>
      <c r="U13"/>
    </row>
    <row r="14" spans="1:21" ht="18" customHeight="1">
      <c r="A14" s="9">
        <f t="shared" si="2"/>
        <v>13</v>
      </c>
      <c r="B14" s="19" t="s">
        <v>27</v>
      </c>
      <c r="C14" s="76"/>
      <c r="D14" s="104"/>
      <c r="E14" s="10" t="str">
        <f>IF(Anmeldung!B15="/",CONCATENATE("Gruppe A Team #",Anmeldung!A15),Anmeldung!B15)</f>
        <v>Team 2, Gruppe A</v>
      </c>
      <c r="F14" s="10" t="s">
        <v>13</v>
      </c>
      <c r="G14" s="10" t="str">
        <f>IF(Anmeldung!B17="/",CONCATENATE("Gruppe A Team #",Anmeldung!A17),Anmeldung!B17)</f>
        <v>Team 4, Gruppe A</v>
      </c>
      <c r="H14" s="133">
        <f t="shared" si="0"/>
      </c>
      <c r="I14" s="45" t="s">
        <v>18</v>
      </c>
      <c r="J14" s="121">
        <f t="shared" si="1"/>
      </c>
      <c r="K14" s="75"/>
      <c r="L14" s="46"/>
      <c r="M14" s="10" t="s">
        <v>18</v>
      </c>
      <c r="N14" s="47"/>
      <c r="O14" s="46"/>
      <c r="P14" s="10" t="s">
        <v>18</v>
      </c>
      <c r="Q14" s="47"/>
      <c r="R14" s="126"/>
      <c r="S14" s="45" t="s">
        <v>18</v>
      </c>
      <c r="T14" s="117"/>
      <c r="U14"/>
    </row>
    <row r="15" spans="1:21" ht="18" customHeight="1">
      <c r="A15" s="9">
        <f t="shared" si="2"/>
        <v>14</v>
      </c>
      <c r="B15" s="19" t="s">
        <v>28</v>
      </c>
      <c r="C15" s="76"/>
      <c r="D15" s="77"/>
      <c r="E15" s="10" t="str">
        <f>IF(Anmeldung!D15="/",CONCATENATE("Gruppe B Team #",Anmeldung!A15),Anmeldung!D15)</f>
        <v>Team 2, Gruppe B</v>
      </c>
      <c r="F15" s="10" t="s">
        <v>13</v>
      </c>
      <c r="G15" s="10" t="str">
        <f>IF(Anmeldung!D17="/",CONCATENATE("Gruppe B Team #",Anmeldung!A17),Anmeldung!D17)</f>
        <v>Team 4, Gruppe B</v>
      </c>
      <c r="H15" s="133">
        <f t="shared" si="0"/>
      </c>
      <c r="I15" s="45" t="s">
        <v>18</v>
      </c>
      <c r="J15" s="121">
        <f t="shared" si="1"/>
      </c>
      <c r="K15" s="75"/>
      <c r="L15" s="46"/>
      <c r="M15" s="10" t="s">
        <v>18</v>
      </c>
      <c r="N15" s="47"/>
      <c r="O15" s="46"/>
      <c r="P15" s="10" t="s">
        <v>18</v>
      </c>
      <c r="Q15" s="47"/>
      <c r="R15" s="126"/>
      <c r="S15" s="45" t="s">
        <v>18</v>
      </c>
      <c r="T15" s="117"/>
      <c r="U15"/>
    </row>
    <row r="16" spans="1:21" ht="18" customHeight="1">
      <c r="A16" s="9">
        <f t="shared" si="2"/>
        <v>15</v>
      </c>
      <c r="B16" s="19" t="s">
        <v>27</v>
      </c>
      <c r="C16" s="76"/>
      <c r="D16" s="104"/>
      <c r="E16" s="10" t="str">
        <f>IF(Anmeldung!B14=" / ",CONCATENATE("Gruppe A Team #",Anmeldung!A14),Anmeldung!B14)</f>
        <v>Team 1, Gruppe A</v>
      </c>
      <c r="F16" s="10" t="s">
        <v>13</v>
      </c>
      <c r="G16" s="10" t="str">
        <f>IF(Anmeldung!B18="/",CONCATENATE("Gruppe A Team #",Anmeldung!A18),Anmeldung!B18)</f>
        <v>Team 5, Gruppe A</v>
      </c>
      <c r="H16" s="133">
        <f>IF(L16=N16,"",SUM(IF(L16&gt;N16,1,0),IF(O16&gt;Q16,1,0),IF(R16&lt;=T16,0,1)))</f>
      </c>
      <c r="I16" s="45" t="s">
        <v>18</v>
      </c>
      <c r="J16" s="121">
        <f>IF(L16=N16,"",SUM(IF(L16&lt;N16,1,0),IF(O16&lt;Q16,1,0),IF(R16&gt;=T16,0,1)))</f>
      </c>
      <c r="K16" s="75"/>
      <c r="L16" s="46"/>
      <c r="M16" s="10" t="s">
        <v>18</v>
      </c>
      <c r="N16" s="47"/>
      <c r="O16" s="46"/>
      <c r="P16" s="10" t="s">
        <v>18</v>
      </c>
      <c r="Q16" s="47"/>
      <c r="R16" s="126"/>
      <c r="S16" s="45" t="s">
        <v>18</v>
      </c>
      <c r="T16" s="117"/>
      <c r="U16"/>
    </row>
    <row r="17" spans="1:26" s="21" customFormat="1" ht="18" customHeight="1" thickBot="1">
      <c r="A17" s="9">
        <f t="shared" si="2"/>
        <v>16</v>
      </c>
      <c r="B17" s="19" t="s">
        <v>28</v>
      </c>
      <c r="C17" s="76"/>
      <c r="D17" s="77"/>
      <c r="E17" s="10" t="str">
        <f>IF(Anmeldung!D14=" / ",CONCATENATE("Gruppe B Team #",Anmeldung!A14),Anmeldung!D14)</f>
        <v>Team 1, Gruppe B</v>
      </c>
      <c r="F17" s="10" t="s">
        <v>13</v>
      </c>
      <c r="G17" s="10" t="str">
        <f>IF(Anmeldung!D18="/",CONCATENATE("Gruppe B Team #",Anmeldung!A18),Anmeldung!D18)</f>
        <v>Team 5, Gruppe B</v>
      </c>
      <c r="H17" s="133">
        <f>IF(L17=N17,"",SUM(IF(L17&gt;N17,1,0),IF(O17&gt;Q17,1,0),IF(R17&lt;=T17,0,1)))</f>
      </c>
      <c r="I17" s="45" t="s">
        <v>18</v>
      </c>
      <c r="J17" s="121">
        <f>IF(L17=N17,"",SUM(IF(L17&lt;N17,1,0),IF(O17&lt;Q17,1,0),IF(R17&gt;=T17,0,1)))</f>
      </c>
      <c r="K17" s="75"/>
      <c r="L17" s="46"/>
      <c r="M17" s="10" t="s">
        <v>18</v>
      </c>
      <c r="N17" s="47"/>
      <c r="O17" s="46"/>
      <c r="P17" s="10" t="s">
        <v>18</v>
      </c>
      <c r="Q17" s="47"/>
      <c r="R17" s="126"/>
      <c r="S17" s="45" t="s">
        <v>18</v>
      </c>
      <c r="T17" s="117"/>
      <c r="U17" s="20"/>
      <c r="V17" s="22"/>
      <c r="W17" s="22"/>
      <c r="X17" s="22"/>
      <c r="Y17" s="22"/>
      <c r="Z17" s="22"/>
    </row>
    <row r="18" spans="1:21" ht="18" customHeight="1">
      <c r="A18" s="9">
        <f t="shared" si="2"/>
        <v>17</v>
      </c>
      <c r="B18" s="19" t="s">
        <v>27</v>
      </c>
      <c r="C18" s="76"/>
      <c r="D18" s="104"/>
      <c r="E18" s="10" t="str">
        <f>IF(Anmeldung!B16="/",CONCATENATE("Gruppe A Team #",Anmeldung!A16),Anmeldung!B16)</f>
        <v>Team 3, Gruppe A</v>
      </c>
      <c r="F18" s="10" t="s">
        <v>13</v>
      </c>
      <c r="G18" s="10" t="str">
        <f>IF(Anmeldung!B17="/",CONCATENATE("Gruppe A Team #",Anmeldung!A17),Anmeldung!B17)</f>
        <v>Team 4, Gruppe A</v>
      </c>
      <c r="H18" s="133">
        <f t="shared" si="0"/>
      </c>
      <c r="I18" s="45" t="s">
        <v>18</v>
      </c>
      <c r="J18" s="121">
        <f t="shared" si="1"/>
      </c>
      <c r="K18" s="75"/>
      <c r="L18" s="46"/>
      <c r="M18" s="10" t="s">
        <v>18</v>
      </c>
      <c r="N18" s="47"/>
      <c r="O18" s="46"/>
      <c r="P18" s="10" t="s">
        <v>18</v>
      </c>
      <c r="Q18" s="47"/>
      <c r="R18" s="126"/>
      <c r="S18" s="45" t="s">
        <v>18</v>
      </c>
      <c r="T18" s="117"/>
      <c r="U18"/>
    </row>
    <row r="19" spans="1:21" ht="18" customHeight="1">
      <c r="A19" s="9">
        <f t="shared" si="2"/>
        <v>18</v>
      </c>
      <c r="B19" s="19" t="s">
        <v>28</v>
      </c>
      <c r="C19" s="76"/>
      <c r="D19" s="77"/>
      <c r="E19" s="10" t="str">
        <f>IF(Anmeldung!D16="/",CONCATENATE("Gruppe B Team #",Anmeldung!A16),Anmeldung!D16)</f>
        <v>Team 3, Gruppe B</v>
      </c>
      <c r="F19" s="10" t="s">
        <v>13</v>
      </c>
      <c r="G19" s="10" t="str">
        <f>IF(Anmeldung!D17="/",CONCATENATE("Gruppe B Team #",Anmeldung!A17),Anmeldung!D17)</f>
        <v>Team 4, Gruppe B</v>
      </c>
      <c r="H19" s="133">
        <f t="shared" si="0"/>
      </c>
      <c r="I19" s="45" t="s">
        <v>18</v>
      </c>
      <c r="J19" s="121">
        <f t="shared" si="1"/>
      </c>
      <c r="K19" s="75"/>
      <c r="L19" s="46"/>
      <c r="M19" s="10" t="s">
        <v>18</v>
      </c>
      <c r="N19" s="47"/>
      <c r="O19" s="46"/>
      <c r="P19" s="10" t="s">
        <v>18</v>
      </c>
      <c r="Q19" s="47"/>
      <c r="R19" s="126"/>
      <c r="S19" s="45" t="s">
        <v>18</v>
      </c>
      <c r="T19" s="117"/>
      <c r="U19"/>
    </row>
    <row r="20" spans="1:21" ht="18" customHeight="1">
      <c r="A20" s="9">
        <f t="shared" si="2"/>
        <v>19</v>
      </c>
      <c r="B20" s="79" t="s">
        <v>27</v>
      </c>
      <c r="C20" s="80"/>
      <c r="D20" s="104"/>
      <c r="E20" s="26" t="str">
        <f>IF(Anmeldung!B14=" / ",CONCATENATE("Gruppe A Team #",Anmeldung!A14),Anmeldung!B14)</f>
        <v>Team 1, Gruppe A</v>
      </c>
      <c r="F20" s="26" t="s">
        <v>13</v>
      </c>
      <c r="G20" s="26" t="str">
        <f>IF(Anmeldung!B15="/",CONCATENATE("Gruppe A Team #",Anmeldung!A15),Anmeldung!B15)</f>
        <v>Team 2, Gruppe A</v>
      </c>
      <c r="H20" s="133">
        <f>IF(L20=N20,"",SUM(IF(L20&gt;N20,1,0),IF(O20&gt;Q20,1,0),IF(R20&lt;=T20,0,1)))</f>
      </c>
      <c r="I20" s="45" t="s">
        <v>18</v>
      </c>
      <c r="J20" s="121">
        <f>IF(L20=N20,"",SUM(IF(L20&lt;N20,1,0),IF(O20&lt;Q20,1,0),IF(R20&gt;=T20,0,1)))</f>
      </c>
      <c r="K20" s="82"/>
      <c r="L20" s="83"/>
      <c r="M20" s="26" t="s">
        <v>18</v>
      </c>
      <c r="N20" s="84"/>
      <c r="O20" s="83"/>
      <c r="P20" s="26" t="s">
        <v>18</v>
      </c>
      <c r="Q20" s="84"/>
      <c r="R20" s="126"/>
      <c r="S20" s="45" t="s">
        <v>18</v>
      </c>
      <c r="T20" s="117"/>
      <c r="U20"/>
    </row>
    <row r="21" spans="1:21" ht="18" customHeight="1" thickBot="1">
      <c r="A21" s="140">
        <f t="shared" si="2"/>
        <v>20</v>
      </c>
      <c r="B21" s="141" t="s">
        <v>28</v>
      </c>
      <c r="C21" s="142"/>
      <c r="D21" s="143"/>
      <c r="E21" s="144" t="str">
        <f>IF(Anmeldung!D14=" / ",CONCATENATE("Gruppe B Team #",Anmeldung!A14),Anmeldung!D14)</f>
        <v>Team 1, Gruppe B</v>
      </c>
      <c r="F21" s="144" t="s">
        <v>13</v>
      </c>
      <c r="G21" s="144" t="str">
        <f>IF(Anmeldung!D15="/",CONCATENATE("Gruppe B Team #",Anmeldung!A15),Anmeldung!D15)</f>
        <v>Team 2, Gruppe B</v>
      </c>
      <c r="H21" s="145">
        <f>IF(L21=N21,"",SUM(IF(L21&gt;N21,1,0),IF(O21&gt;Q21,1,0),IF(R21&lt;=T21,0,1)))</f>
      </c>
      <c r="I21" s="128" t="s">
        <v>18</v>
      </c>
      <c r="J21" s="129">
        <f>IF(L21=N21,"",SUM(IF(L21&lt;N21,1,0),IF(O21&lt;Q21,1,0),IF(R21&gt;=T21,0,1)))</f>
      </c>
      <c r="K21" s="130"/>
      <c r="L21" s="146"/>
      <c r="M21" s="144" t="s">
        <v>18</v>
      </c>
      <c r="N21" s="147"/>
      <c r="O21" s="146"/>
      <c r="P21" s="144" t="s">
        <v>18</v>
      </c>
      <c r="Q21" s="147"/>
      <c r="R21" s="148"/>
      <c r="S21" s="128" t="s">
        <v>18</v>
      </c>
      <c r="T21" s="149"/>
      <c r="U21"/>
    </row>
    <row r="22" spans="1:17" s="135" customFormat="1" ht="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s="135" customFormat="1" ht="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s="135" customFormat="1" ht="1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s="135" customFormat="1" ht="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s="135" customFormat="1" ht="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s="135" customFormat="1" ht="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s="135" customFormat="1" ht="1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s="135" customFormat="1" ht="1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s="135" customFormat="1" ht="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s="135" customFormat="1" ht="1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s="135" customFormat="1" ht="1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s="135" customFormat="1" ht="1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s="135" customFormat="1" ht="1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s="135" customFormat="1" ht="1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s="135" customFormat="1" ht="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s="135" customFormat="1" ht="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s="135" customFormat="1" ht="1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s="135" customFormat="1" ht="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s="135" customFormat="1" ht="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s="135" customFormat="1" ht="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s="135" customFormat="1" ht="1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s="135" customFormat="1" ht="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s="135" customFormat="1" ht="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s="135" customFormat="1" ht="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s="135" customFormat="1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s="135" customFormat="1" ht="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s="135" customFormat="1" ht="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s="135" customFormat="1" ht="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s="135" customFormat="1" ht="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s="135" customFormat="1" ht="1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s="135" customFormat="1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s="135" customFormat="1" ht="1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</sheetData>
  <sheetProtection formatCells="0" formatColumns="0" formatRows="0" selectLockedCells="1"/>
  <printOptions horizontalCentered="1" verticalCentered="1"/>
  <pageMargins left="0.7874015748031497" right="0.7874015748031497" top="0.9" bottom="0.44" header="0.5118110236220472" footer="0.44"/>
  <pageSetup horizontalDpi="300" verticalDpi="300" orientation="landscape" paperSize="9" r:id="rId1"/>
  <headerFooter alignWithMargins="0">
    <oddHeader>&amp;CResultate Gruppenspiele Vorrunde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3" sqref="A13"/>
    </sheetView>
  </sheetViews>
  <sheetFormatPr defaultColWidth="11.421875" defaultRowHeight="12.75"/>
  <cols>
    <col min="1" max="1" width="16.8515625" style="37" customWidth="1"/>
    <col min="2" max="2" width="3.7109375" style="38" customWidth="1"/>
    <col min="3" max="3" width="1.57421875" style="38" bestFit="1" customWidth="1"/>
    <col min="4" max="4" width="3.7109375" style="38" customWidth="1"/>
    <col min="5" max="5" width="4.28125" style="38" customWidth="1"/>
    <col min="6" max="6" width="3.7109375" style="38" customWidth="1"/>
    <col min="7" max="7" width="2.00390625" style="38" bestFit="1" customWidth="1"/>
    <col min="8" max="8" width="3.8515625" style="38" customWidth="1"/>
    <col min="9" max="9" width="9.57421875" style="38" customWidth="1"/>
    <col min="10" max="10" width="4.7109375" style="38" customWidth="1"/>
    <col min="11" max="11" width="9.00390625" style="69" hidden="1" customWidth="1"/>
    <col min="12" max="12" width="5.8515625" style="37" customWidth="1"/>
    <col min="13" max="13" width="3.00390625" style="2" customWidth="1"/>
    <col min="14" max="14" width="27.57421875" style="0" customWidth="1"/>
    <col min="15" max="15" width="3.7109375" style="0" customWidth="1"/>
    <col min="16" max="16384" width="11.421875" style="37" customWidth="1"/>
  </cols>
  <sheetData>
    <row r="1" spans="1:14" ht="25.5" thickBot="1" thickTop="1">
      <c r="A1" s="31" t="s">
        <v>24</v>
      </c>
      <c r="B1" s="161" t="s">
        <v>29</v>
      </c>
      <c r="C1" s="160"/>
      <c r="D1" s="162"/>
      <c r="E1" s="58" t="s">
        <v>31</v>
      </c>
      <c r="F1" s="160" t="s">
        <v>32</v>
      </c>
      <c r="G1" s="160"/>
      <c r="H1" s="160"/>
      <c r="I1" s="44" t="s">
        <v>33</v>
      </c>
      <c r="J1" s="48" t="s">
        <v>34</v>
      </c>
      <c r="K1" s="88" t="s">
        <v>21</v>
      </c>
      <c r="L1" s="43"/>
      <c r="M1" s="18" t="s">
        <v>0</v>
      </c>
      <c r="N1" s="15" t="s">
        <v>6</v>
      </c>
    </row>
    <row r="2" spans="1:15" ht="13.5" thickTop="1">
      <c r="A2" s="30" t="str">
        <f>Anmeldung!B14</f>
        <v>Team 1, Gruppe A</v>
      </c>
      <c r="B2" s="28">
        <f>SUM(Vorrunde!H20,Vorrunde!H4,Vorrunde!H10,Vorrunde!H16)</f>
        <v>0</v>
      </c>
      <c r="C2" s="38" t="s">
        <v>30</v>
      </c>
      <c r="D2" s="40">
        <f>SUM(Vorrunde!J20,Vorrunde!J4,Vorrunde!J10,Vorrunde!J16)</f>
        <v>0</v>
      </c>
      <c r="E2" s="59">
        <f>SUM(B2-D2)</f>
        <v>0</v>
      </c>
      <c r="F2" s="38">
        <f>SUM(Vorrunde!L20,Vorrunde!O20,Vorrunde!R20,Vorrunde!L4,Vorrunde!O4,Vorrunde!R4,Vorrunde!L10,Vorrunde!O10,Vorrunde!R10,Vorrunde!L16,Vorrunde!O16,Vorrunde!R16)</f>
        <v>0</v>
      </c>
      <c r="G2" s="38" t="s">
        <v>30</v>
      </c>
      <c r="H2" s="38">
        <f>SUM(Vorrunde!N20,Vorrunde!Q20,Vorrunde!T20,Vorrunde!N4,Vorrunde!Q4,Vorrunde!T4,Vorrunde!N10,Vorrunde!Q10,Vorrunde!T10,Vorrunde!N16,Vorrunde!Q16,Vorrunde!T16)</f>
        <v>0</v>
      </c>
      <c r="I2" s="56" t="str">
        <f>IF((H2=0),"Quotient",F2/H2)</f>
        <v>Quotient</v>
      </c>
      <c r="J2" s="50">
        <f>RANK(B2,$B$2:$B$6)</f>
        <v>1</v>
      </c>
      <c r="K2" s="89" t="str">
        <f>A2</f>
        <v>Team 1, Gruppe A</v>
      </c>
      <c r="L2" s="43"/>
      <c r="M2" s="42">
        <v>1</v>
      </c>
      <c r="N2" s="4" t="str">
        <f>IF(B2+B3+B4+B5+B6=0,"Team 1, Gruppe A",VLOOKUP(1,J2:K6,2,FALSE))</f>
        <v>Team 1, Gruppe A</v>
      </c>
      <c r="O2" s="11" t="s">
        <v>35</v>
      </c>
    </row>
    <row r="3" spans="1:15" ht="12.75">
      <c r="A3" s="30" t="str">
        <f>Anmeldung!B15</f>
        <v>Team 2, Gruppe A</v>
      </c>
      <c r="B3" s="28">
        <f>SUM(Vorrunde!J20,Vorrunde!H14,Vorrunde!H8,Vorrunde!H2)</f>
        <v>0</v>
      </c>
      <c r="C3" s="38" t="s">
        <v>30</v>
      </c>
      <c r="D3" s="40">
        <f>SUM(Vorrunde!H20,Vorrunde!J14,Vorrunde!J8,Vorrunde!J2)</f>
        <v>0</v>
      </c>
      <c r="E3" s="59">
        <f>SUM(B3-D3)</f>
        <v>0</v>
      </c>
      <c r="F3" s="38">
        <f>SUM(Vorrunde!N20,Vorrunde!Q20,Vorrunde!T20,Vorrunde!L14,Vorrunde!O14,Vorrunde!R14,Vorrunde!L8,Vorrunde!O8,Vorrunde!R8,Vorrunde!L2,Vorrunde!O2,Vorrunde!R2)</f>
        <v>0</v>
      </c>
      <c r="G3" s="38" t="s">
        <v>30</v>
      </c>
      <c r="H3" s="38">
        <f>SUM(Vorrunde!L20,Vorrunde!O20,Vorrunde!R20,Vorrunde!N14,Vorrunde!Q14,Vorrunde!T14,Vorrunde!N8,Vorrunde!Q8,Vorrunde!T8,Vorrunde!N2,Vorrunde!Q2,Vorrunde!T2)</f>
        <v>0</v>
      </c>
      <c r="I3" s="56" t="str">
        <f>IF((H3=0),"Quotient",F3/H3)</f>
        <v>Quotient</v>
      </c>
      <c r="J3" s="50">
        <f>RANK(B3,$B$2:$B$6)</f>
        <v>1</v>
      </c>
      <c r="K3" s="89" t="str">
        <f>A3</f>
        <v>Team 2, Gruppe A</v>
      </c>
      <c r="L3" s="43"/>
      <c r="M3" s="8">
        <v>2</v>
      </c>
      <c r="N3" s="5" t="str">
        <f>IF(B8+B9+B10+B11+B12=0,"Team 1, Gruppe B",VLOOKUP(1,J8:K12,2,FALSE))</f>
        <v>Team 1, Gruppe B</v>
      </c>
      <c r="O3" s="11" t="s">
        <v>36</v>
      </c>
    </row>
    <row r="4" spans="1:15" ht="12.75">
      <c r="A4" s="30" t="str">
        <f>Anmeldung!B16</f>
        <v>Team 3, Gruppe A</v>
      </c>
      <c r="B4" s="28">
        <f>SUM(Vorrunde!H18,Vorrunde!H12,Vorrunde!J4,Vorrunde!J8)</f>
        <v>0</v>
      </c>
      <c r="C4" s="38" t="s">
        <v>30</v>
      </c>
      <c r="D4" s="40">
        <f>SUM(Vorrunde!J18,Vorrunde!J12,Vorrunde!H4,Vorrunde!H8)</f>
        <v>0</v>
      </c>
      <c r="E4" s="59">
        <f>SUM(B4-D4)</f>
        <v>0</v>
      </c>
      <c r="F4" s="38">
        <f>SUM(Vorrunde!L18,Vorrunde!O18,Vorrunde!R18,Vorrunde!L12,Vorrunde!O12,Vorrunde!R18,Vorrunde!N4,Vorrunde!Q4,Vorrunde!T4,Vorrunde!N8,Vorrunde!Q8,Vorrunde!T8)</f>
        <v>0</v>
      </c>
      <c r="G4" s="38" t="s">
        <v>30</v>
      </c>
      <c r="H4" s="38">
        <f>SUM(Vorrunde!N18,Vorrunde!Q18,Vorrunde!T18,Vorrunde!N12,Vorrunde!Q12,Vorrunde!T18,Vorrunde!L4,Vorrunde!O4,Vorrunde!R4,Vorrunde!L8,Vorrunde!O8,Vorrunde!R8)</f>
        <v>0</v>
      </c>
      <c r="I4" s="56" t="str">
        <f>IF((H4=0),"Quotient",F4/H4)</f>
        <v>Quotient</v>
      </c>
      <c r="J4" s="50">
        <f>RANK(B4,$B$2:$B$6)</f>
        <v>1</v>
      </c>
      <c r="K4" s="89" t="str">
        <f>A4</f>
        <v>Team 3, Gruppe A</v>
      </c>
      <c r="L4" s="43"/>
      <c r="M4" s="8">
        <v>3</v>
      </c>
      <c r="N4" s="5" t="str">
        <f>IF(B2+B3+B4+B5+B6=0,"Team 2, Gruppe A",VLOOKUP(2,J2:K6,2,FALSE))</f>
        <v>Team 2, Gruppe A</v>
      </c>
      <c r="O4" s="11" t="s">
        <v>38</v>
      </c>
    </row>
    <row r="5" spans="1:15" ht="12.75">
      <c r="A5" s="30" t="str">
        <f>Anmeldung!B17</f>
        <v>Team 4, Gruppe A</v>
      </c>
      <c r="B5" s="28">
        <f>SUM(Vorrunde!J18,Vorrunde!J14,Vorrunde!J10,Vorrunde!H6)</f>
        <v>0</v>
      </c>
      <c r="C5" s="38" t="s">
        <v>30</v>
      </c>
      <c r="D5" s="40">
        <f>SUM(Vorrunde!H18,Vorrunde!H14,Vorrunde!H10,Vorrunde!J6)</f>
        <v>0</v>
      </c>
      <c r="E5" s="59">
        <f>SUM(B5-D5)</f>
        <v>0</v>
      </c>
      <c r="F5" s="38">
        <f>SUM(Vorrunde!N18,Vorrunde!Q18,Vorrunde!T18,Vorrunde!N14,Vorrunde!Q14,Vorrunde!T14,Vorrunde!N10,Vorrunde!Q10,Vorrunde!T10,Vorrunde!L6,Vorrunde!O6,Vorrunde!R6)</f>
        <v>0</v>
      </c>
      <c r="G5" s="38" t="s">
        <v>30</v>
      </c>
      <c r="H5" s="38">
        <f>SUM(Vorrunde!L18,Vorrunde!O18,Vorrunde!R18,Vorrunde!L14,Vorrunde!O14,Vorrunde!R14,Vorrunde!L10,Vorrunde!O10,Vorrunde!R10,Vorrunde!N6,Vorrunde!Q6,Vorrunde!T6)</f>
        <v>0</v>
      </c>
      <c r="I5" s="56" t="str">
        <f>IF((H5=0),"Quotient",F5/H5)</f>
        <v>Quotient</v>
      </c>
      <c r="J5" s="50">
        <f>RANK(B5,$B$2:$B$6)</f>
        <v>1</v>
      </c>
      <c r="K5" s="90" t="str">
        <f>A5</f>
        <v>Team 4, Gruppe A</v>
      </c>
      <c r="L5" s="43"/>
      <c r="M5" s="8">
        <v>4</v>
      </c>
      <c r="N5" s="5" t="str">
        <f>IF(B8+B9+B10+B11+B12=0,"Team 2, Gruppe B",VLOOKUP(2,J8:K12,2,FALSE))</f>
        <v>Team 2, Gruppe B</v>
      </c>
      <c r="O5" s="11" t="s">
        <v>37</v>
      </c>
    </row>
    <row r="6" spans="1:15" ht="12.75">
      <c r="A6" s="32" t="str">
        <f>Anmeldung!B18</f>
        <v>Team 5, Gruppe A</v>
      </c>
      <c r="B6" s="29">
        <f>SUM(Vorrunde!J16,Vorrunde!J12,Vorrunde!J6,Vorrunde!J2)</f>
        <v>0</v>
      </c>
      <c r="C6" s="39" t="s">
        <v>30</v>
      </c>
      <c r="D6" s="41">
        <f>SUM(Vorrunde!H16,Vorrunde!H12,Vorrunde!H6,Vorrunde!H2)</f>
        <v>0</v>
      </c>
      <c r="E6" s="60">
        <f>SUM(B6-D6)</f>
        <v>0</v>
      </c>
      <c r="F6" s="39">
        <f>SUM(Vorrunde!N16,Vorrunde!Q16,Vorrunde!T16,Vorrunde!N12,Vorrunde!Q12,Vorrunde!T12,Vorrunde!N6,Vorrunde!Q6,Vorrunde!T6,Vorrunde!N2,Vorrunde!Q2,Vorrunde!T2)</f>
        <v>0</v>
      </c>
      <c r="G6" s="39" t="s">
        <v>30</v>
      </c>
      <c r="H6" s="39">
        <f>SUM(Vorrunde!L16,Vorrunde!O16,Vorrunde!R16,Vorrunde!L12,Vorrunde!O12,Vorrunde!R12,Vorrunde!L6,Vorrunde!O6,Vorrunde!R6,Vorrunde!L2,Vorrunde!O2,Vorrunde!R2)</f>
        <v>0</v>
      </c>
      <c r="I6" s="57" t="str">
        <f>IF((H6=0),"Quotient",F6/H6)</f>
        <v>Quotient</v>
      </c>
      <c r="J6" s="51">
        <f>RANK(B6,$B$2:$B$6)</f>
        <v>1</v>
      </c>
      <c r="K6" s="90" t="str">
        <f>A6</f>
        <v>Team 5, Gruppe A</v>
      </c>
      <c r="L6" s="43"/>
      <c r="M6" s="8">
        <v>5</v>
      </c>
      <c r="N6" s="5" t="str">
        <f>IF(B2+B3+B4+B5+B6=0,"Team 3, Gruppe A",VLOOKUP(3,J2:K6,2,FALSE))</f>
        <v>Team 3, Gruppe A</v>
      </c>
      <c r="O6" s="11" t="s">
        <v>40</v>
      </c>
    </row>
    <row r="7" spans="1:15" ht="12.75">
      <c r="A7" s="85" t="s">
        <v>25</v>
      </c>
      <c r="B7" s="28"/>
      <c r="C7" s="86"/>
      <c r="D7" s="87"/>
      <c r="E7" s="59"/>
      <c r="G7" s="86"/>
      <c r="I7" s="56"/>
      <c r="J7" s="49"/>
      <c r="K7" s="89"/>
      <c r="L7" s="43"/>
      <c r="M7" s="8">
        <v>6</v>
      </c>
      <c r="N7" s="5" t="str">
        <f>IF(B8+B9+B10+B11+B12=0,"Team 3, Gruppe B",VLOOKUP(3,J8:K12,2,FALSE))</f>
        <v>Team 3, Gruppe B</v>
      </c>
      <c r="O7" s="11" t="s">
        <v>41</v>
      </c>
    </row>
    <row r="8" spans="1:15" ht="12.75">
      <c r="A8" s="30" t="str">
        <f>Anmeldung!D14</f>
        <v>Team 1, Gruppe B</v>
      </c>
      <c r="B8" s="28">
        <f>SUM(Vorrunde!H21,Vorrunde!H5,Vorrunde!H11,Vorrunde!H17)</f>
        <v>0</v>
      </c>
      <c r="C8" s="38" t="s">
        <v>30</v>
      </c>
      <c r="D8" s="40">
        <f>SUM(Vorrunde!J21,Vorrunde!J5,Vorrunde!J11,Vorrunde!J17)</f>
        <v>0</v>
      </c>
      <c r="E8" s="59">
        <f>SUM(B8-D8)</f>
        <v>0</v>
      </c>
      <c r="F8" s="38">
        <f>SUM(Vorrunde!L21,Vorrunde!O21,Vorrunde!R21,Vorrunde!L5,Vorrunde!O5,Vorrunde!R5,Vorrunde!L11,Vorrunde!O11,Vorrunde!R11,Vorrunde!L17,Vorrunde!O17,Vorrunde!R17)</f>
        <v>0</v>
      </c>
      <c r="G8" s="38" t="s">
        <v>30</v>
      </c>
      <c r="H8" s="38">
        <f>SUM(Vorrunde!N21,Vorrunde!Q21,Vorrunde!T21,Vorrunde!N5,Vorrunde!Q5,Vorrunde!T5,Vorrunde!N11,Vorrunde!Q11,Vorrunde!T11,Vorrunde!N17,Vorrunde!Q17,Vorrunde!T17)</f>
        <v>0</v>
      </c>
      <c r="I8" s="56" t="str">
        <f>IF((H8=0),"Quotient",F8/H8)</f>
        <v>Quotient</v>
      </c>
      <c r="J8" s="50">
        <f>RANK(B8,$B$8:$B$12)</f>
        <v>1</v>
      </c>
      <c r="K8" s="89" t="str">
        <f>A8</f>
        <v>Team 1, Gruppe B</v>
      </c>
      <c r="M8" s="136" t="s">
        <v>34</v>
      </c>
      <c r="N8" s="78"/>
      <c r="O8" s="78"/>
    </row>
    <row r="9" spans="1:15" ht="12.75">
      <c r="A9" s="30" t="str">
        <f>Anmeldung!D15</f>
        <v>Team 2, Gruppe B</v>
      </c>
      <c r="B9" s="28">
        <f>SUM(Vorrunde!J21,Vorrunde!H15,Vorrunde!H9,Vorrunde!H3)</f>
        <v>0</v>
      </c>
      <c r="C9" s="38" t="s">
        <v>30</v>
      </c>
      <c r="D9" s="40">
        <f>SUM(Vorrunde!H21,Vorrunde!J15,Vorrunde!J9,Vorrunde!J3)</f>
        <v>0</v>
      </c>
      <c r="E9" s="59">
        <f>SUM(B9-D9)</f>
        <v>0</v>
      </c>
      <c r="F9" s="38">
        <f>SUM(Vorrunde!N21,Vorrunde!Q21,Vorrunde!T21,Vorrunde!L15,Vorrunde!O15,Vorrunde!R15,Vorrunde!L9,Vorrunde!O9,Vorrunde!R9,Vorrunde!L3,Vorrunde!O3,Vorrunde!R3)</f>
        <v>0</v>
      </c>
      <c r="G9" s="38" t="s">
        <v>30</v>
      </c>
      <c r="H9" s="38">
        <f>SUM(Vorrunde!L21,Vorrunde!O21,Vorrunde!R21,Vorrunde!N15,Vorrunde!Q15,Vorrunde!T15,Vorrunde!N9,Vorrunde!Q9,Vorrunde!T9,Vorrunde!N3,Vorrunde!Q3,Vorrunde!T3)</f>
        <v>0</v>
      </c>
      <c r="I9" s="56" t="str">
        <f>IF((H9=0),"Quotient",F9/H9)</f>
        <v>Quotient</v>
      </c>
      <c r="J9" s="50">
        <f>RANK(B9,$B$8:$B$12)</f>
        <v>1</v>
      </c>
      <c r="K9" s="89" t="str">
        <f>A9</f>
        <v>Team 2, Gruppe B</v>
      </c>
      <c r="M9" s="8">
        <v>7</v>
      </c>
      <c r="N9" s="5" t="str">
        <f>IF(B2+B3+B4+B5+B6=0,"Team 4, Gruppe A",VLOOKUP(4,J2:K6,2,FALSE))</f>
        <v>Team 4, Gruppe A</v>
      </c>
      <c r="O9" s="11" t="s">
        <v>46</v>
      </c>
    </row>
    <row r="10" spans="1:15" ht="12.75">
      <c r="A10" s="30" t="str">
        <f>Anmeldung!D16</f>
        <v>Team 3, Gruppe B</v>
      </c>
      <c r="B10" s="28">
        <f>SUM(Vorrunde!H19,Vorrunde!H13,Vorrunde!J5,Vorrunde!J9)</f>
        <v>0</v>
      </c>
      <c r="C10" s="38" t="s">
        <v>30</v>
      </c>
      <c r="D10" s="40">
        <f>SUM(Vorrunde!J19,Vorrunde!J13,Vorrunde!H5,Vorrunde!H9)</f>
        <v>0</v>
      </c>
      <c r="E10" s="59">
        <f>SUM(B10-D10)</f>
        <v>0</v>
      </c>
      <c r="F10" s="38">
        <f>SUM(Vorrunde!L19,Vorrunde!O19,Vorrunde!R19,Vorrunde!L13,Vorrunde!O13,Vorrunde!R13,Vorrunde!N5,Vorrunde!Q5,Vorrunde!T5,Vorrunde!N9,Vorrunde!Q9,Vorrunde!T9)</f>
        <v>0</v>
      </c>
      <c r="G10" s="38" t="s">
        <v>30</v>
      </c>
      <c r="H10" s="38">
        <f>SUM(Vorrunde!N19,Vorrunde!Q19,Vorrunde!T19,Vorrunde!N13,Vorrunde!Q13,Vorrunde!T13,Vorrunde!L5,Vorrunde!O5,Vorrunde!R5,Vorrunde!L9,Vorrunde!O9,Vorrunde!R9)</f>
        <v>0</v>
      </c>
      <c r="I10" s="56" t="str">
        <f>IF((H10=0),"Quotient",F10/H10)</f>
        <v>Quotient</v>
      </c>
      <c r="J10" s="50">
        <f>RANK(B10,$B$8:$B$12)</f>
        <v>1</v>
      </c>
      <c r="K10" s="89" t="str">
        <f>A10</f>
        <v>Team 3, Gruppe B</v>
      </c>
      <c r="M10" s="8">
        <v>7</v>
      </c>
      <c r="N10" s="5" t="str">
        <f>IF(B8+B9+B10+B11+B12=0,"Team 4, Gruppe B",VLOOKUP(4,J8:K12,2,FALSE))</f>
        <v>Team 4, Gruppe B</v>
      </c>
      <c r="O10" s="11" t="s">
        <v>45</v>
      </c>
    </row>
    <row r="11" spans="1:15" ht="12.75">
      <c r="A11" s="30" t="str">
        <f>Anmeldung!D17</f>
        <v>Team 4, Gruppe B</v>
      </c>
      <c r="B11" s="28">
        <f>SUM(Vorrunde!J19,Vorrunde!J15,Vorrunde!J11,Vorrunde!H7)</f>
        <v>0</v>
      </c>
      <c r="C11" s="38" t="s">
        <v>30</v>
      </c>
      <c r="D11" s="40">
        <f>SUM(Vorrunde!H19,Vorrunde!H15,Vorrunde!H11,Vorrunde!J7)</f>
        <v>0</v>
      </c>
      <c r="E11" s="59">
        <f>SUM(B11-D11)</f>
        <v>0</v>
      </c>
      <c r="F11" s="38">
        <f>SUM(Vorrunde!N19,Vorrunde!Q19,Vorrunde!T19,Vorrunde!N15,Vorrunde!Q15,Vorrunde!T15,Vorrunde!N11,Vorrunde!Q11,Vorrunde!T11,Vorrunde!L7,Vorrunde!O7,Vorrunde!R7)</f>
        <v>0</v>
      </c>
      <c r="G11" s="38" t="s">
        <v>30</v>
      </c>
      <c r="H11" s="38">
        <f>SUM(Vorrunde!L19,Vorrunde!O19,Vorrunde!R19,Vorrunde!L15,Vorrunde!O15,Vorrunde!R15,Vorrunde!L11,Vorrunde!O11,Vorrunde!R11,Vorrunde!N7,Vorrunde!Q7,Vorrunde!T7)</f>
        <v>0</v>
      </c>
      <c r="I11" s="56" t="str">
        <f>IF((H11=0),"Quotient",F11/H11)</f>
        <v>Quotient</v>
      </c>
      <c r="J11" s="50">
        <f>RANK(B11,$B$8:$B$12)</f>
        <v>1</v>
      </c>
      <c r="K11" s="90" t="str">
        <f>A11</f>
        <v>Team 4, Gruppe B</v>
      </c>
      <c r="M11" s="8">
        <v>9</v>
      </c>
      <c r="N11" s="5" t="str">
        <f>IF(B2+B3+B4+B5+B6=0,"Team 5, Gruppe A",VLOOKUP(5,J2:K6,2,FALSE))</f>
        <v>Team 5, Gruppe A</v>
      </c>
      <c r="O11" s="11" t="s">
        <v>50</v>
      </c>
    </row>
    <row r="12" spans="1:15" ht="12.75">
      <c r="A12" s="32" t="str">
        <f>Anmeldung!D18</f>
        <v>Team 5, Gruppe B</v>
      </c>
      <c r="B12" s="29">
        <f>SUM(Vorrunde!J17,Vorrunde!J13,Vorrunde!J7,Vorrunde!J3)</f>
        <v>0</v>
      </c>
      <c r="C12" s="39" t="s">
        <v>30</v>
      </c>
      <c r="D12" s="41">
        <f>SUM(Vorrunde!H17,Vorrunde!H13,Vorrunde!H7,Vorrunde!H3)</f>
        <v>0</v>
      </c>
      <c r="E12" s="60">
        <f>SUM(B12-D12)</f>
        <v>0</v>
      </c>
      <c r="F12" s="39">
        <f>SUM(Vorrunde!N17,Vorrunde!Q17,Vorrunde!T17,Vorrunde!N13,Vorrunde!Q13,Vorrunde!T13,Vorrunde!N7,Vorrunde!Q7,Vorrunde!T7,Vorrunde!N3,Vorrunde!Q3,Vorrunde!T3)</f>
        <v>0</v>
      </c>
      <c r="G12" s="39" t="s">
        <v>30</v>
      </c>
      <c r="H12" s="39">
        <f>SUM(Vorrunde!L17,Vorrunde!O17,Vorrunde!R17,Vorrunde!L13,Vorrunde!O13,Vorrunde!R13,Vorrunde!L7,Vorrunde!O7,Vorrunde!R7,Vorrunde!L3,Vorrunde!O3,Vorrunde!R3)</f>
        <v>0</v>
      </c>
      <c r="I12" s="57" t="str">
        <f>IF((H12=0),"Quotient",F12/H12)</f>
        <v>Quotient</v>
      </c>
      <c r="J12" s="51">
        <f>RANK(B12,$B$8:$B$12)</f>
        <v>1</v>
      </c>
      <c r="K12" s="90" t="str">
        <f>A12</f>
        <v>Team 5, Gruppe B</v>
      </c>
      <c r="M12" s="8">
        <v>9</v>
      </c>
      <c r="N12" s="5" t="str">
        <f>IF(B8+B9+B10+B11+B12=0,"Team 5, Gruppe B",VLOOKUP(5,J8:K12,2,FALSE))</f>
        <v>Team 5, Gruppe B</v>
      </c>
      <c r="O12" s="11" t="s">
        <v>51</v>
      </c>
    </row>
    <row r="13" spans="13:15" ht="12.75">
      <c r="M13" s="22"/>
      <c r="N13" s="78"/>
      <c r="O13" s="11"/>
    </row>
    <row r="14" spans="1:14" ht="12.75">
      <c r="A14" s="98" t="s">
        <v>42</v>
      </c>
      <c r="B14" s="53"/>
      <c r="C14" s="53"/>
      <c r="D14" s="53"/>
      <c r="E14" s="53"/>
      <c r="F14" s="53"/>
      <c r="G14" s="53"/>
      <c r="H14" s="53"/>
      <c r="I14" s="53"/>
      <c r="J14" s="53"/>
      <c r="K14" s="68"/>
      <c r="L14" s="52"/>
      <c r="M14" s="54"/>
      <c r="N14" s="55"/>
    </row>
  </sheetData>
  <sheetProtection formatCells="0" formatColumns="0" formatRows="0" selectLockedCells="1"/>
  <mergeCells count="2">
    <mergeCell ref="F1:H1"/>
    <mergeCell ref="B1:D1"/>
  </mergeCells>
  <printOptions horizontalCentered="1"/>
  <pageMargins left="0.5905511811023623" right="0.5905511811023623" top="1.38" bottom="0.984251968503937" header="0.5118110236220472" footer="0.5118110236220472"/>
  <pageSetup horizontalDpi="300" verticalDpi="3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E10" sqref="E10"/>
    </sheetView>
  </sheetViews>
  <sheetFormatPr defaultColWidth="11.42187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2" width="4.7109375" style="1" customWidth="1"/>
    <col min="13" max="15" width="4.57421875" style="1" customWidth="1"/>
    <col min="16" max="16" width="4.57421875" style="1" bestFit="1" customWidth="1"/>
    <col min="17" max="17" width="4.421875" style="1" customWidth="1"/>
    <col min="18" max="18" width="4.140625" style="1" customWidth="1"/>
    <col min="19" max="19" width="4.57421875" style="1" bestFit="1" customWidth="1"/>
    <col min="20" max="20" width="4.00390625" style="1" customWidth="1"/>
    <col min="21" max="21" width="7.00390625" style="1" customWidth="1"/>
    <col min="22" max="22" width="8.57421875" style="1" customWidth="1"/>
    <col min="23" max="16384" width="9.140625" style="1" customWidth="1"/>
  </cols>
  <sheetData>
    <row r="1" spans="1:22" s="108" customFormat="1" ht="64.5" customHeight="1">
      <c r="A1" s="107" t="s">
        <v>9</v>
      </c>
      <c r="B1" s="107" t="s">
        <v>10</v>
      </c>
      <c r="C1" s="107" t="s">
        <v>11</v>
      </c>
      <c r="D1" s="107" t="s">
        <v>39</v>
      </c>
      <c r="E1" s="138" t="s">
        <v>12</v>
      </c>
      <c r="F1" s="138" t="s">
        <v>13</v>
      </c>
      <c r="G1" s="138" t="s">
        <v>14</v>
      </c>
      <c r="H1" s="106" t="s">
        <v>52</v>
      </c>
      <c r="I1" s="106"/>
      <c r="J1" s="106"/>
      <c r="K1" s="107" t="s">
        <v>53</v>
      </c>
      <c r="L1" s="105" t="s">
        <v>54</v>
      </c>
      <c r="M1" s="106"/>
      <c r="N1" s="106"/>
      <c r="O1" s="106" t="s">
        <v>55</v>
      </c>
      <c r="P1" s="106"/>
      <c r="Q1" s="106"/>
      <c r="R1" s="106" t="s">
        <v>56</v>
      </c>
      <c r="S1" s="106"/>
      <c r="T1" s="106"/>
      <c r="U1" s="107" t="s">
        <v>57</v>
      </c>
      <c r="V1" s="107" t="s">
        <v>58</v>
      </c>
    </row>
    <row r="2" spans="1:24" s="115" customFormat="1" ht="18" customHeight="1">
      <c r="A2" s="10">
        <v>21</v>
      </c>
      <c r="B2" s="119" t="s">
        <v>17</v>
      </c>
      <c r="C2" s="117"/>
      <c r="D2" s="120"/>
      <c r="E2" s="45" t="str">
        <f>RankSeed!N5</f>
        <v>Team 2, Gruppe B</v>
      </c>
      <c r="F2" s="45" t="s">
        <v>13</v>
      </c>
      <c r="G2" s="45" t="str">
        <f>RankSeed!N6</f>
        <v>Team 3, Gruppe A</v>
      </c>
      <c r="H2" s="121">
        <f aca="true" t="shared" si="0" ref="H2:H7">IF(L2=N2,"",SUM(IF(L2&gt;N2,1,0),IF(O2&gt;Q2,1,0),IF(R2&lt;=T2,0,1)))</f>
      </c>
      <c r="I2" s="45" t="s">
        <v>18</v>
      </c>
      <c r="J2" s="121">
        <f aca="true" t="shared" si="1" ref="J2:J7">IF(L2=N2,"",SUM(IF(L2&lt;N2,1,0),IF(O2&lt;Q2,1,0),IF(R2&gt;=T2,0,1)))</f>
      </c>
      <c r="K2" s="139">
        <f aca="true" t="shared" si="2" ref="K2:K7">SUM(V2-U2)</f>
        <v>0</v>
      </c>
      <c r="L2" s="110"/>
      <c r="M2" s="81" t="s">
        <v>18</v>
      </c>
      <c r="N2" s="111"/>
      <c r="O2" s="111"/>
      <c r="P2" s="81" t="s">
        <v>18</v>
      </c>
      <c r="Q2" s="111"/>
      <c r="R2" s="109"/>
      <c r="S2" s="81" t="s">
        <v>18</v>
      </c>
      <c r="T2" s="109"/>
      <c r="U2" s="112"/>
      <c r="V2" s="112"/>
      <c r="W2" s="113"/>
      <c r="X2" s="114"/>
    </row>
    <row r="3" spans="1:24" s="108" customFormat="1" ht="18" customHeight="1">
      <c r="A3" s="10">
        <f>A2+1</f>
        <v>22</v>
      </c>
      <c r="B3" s="10" t="s">
        <v>17</v>
      </c>
      <c r="C3" s="117"/>
      <c r="D3" s="120"/>
      <c r="E3" s="45" t="str">
        <f>RankSeed!N4</f>
        <v>Team 2, Gruppe A</v>
      </c>
      <c r="F3" s="45" t="s">
        <v>13</v>
      </c>
      <c r="G3" s="45" t="str">
        <f>RankSeed!N7</f>
        <v>Team 3, Gruppe B</v>
      </c>
      <c r="H3" s="121">
        <f t="shared" si="0"/>
      </c>
      <c r="I3" s="45" t="s">
        <v>18</v>
      </c>
      <c r="J3" s="121">
        <f t="shared" si="1"/>
      </c>
      <c r="K3" s="139">
        <f t="shared" si="2"/>
        <v>0</v>
      </c>
      <c r="L3" s="116"/>
      <c r="M3" s="45" t="s">
        <v>18</v>
      </c>
      <c r="N3" s="61"/>
      <c r="O3" s="61"/>
      <c r="P3" s="45" t="s">
        <v>18</v>
      </c>
      <c r="Q3" s="61"/>
      <c r="R3" s="117"/>
      <c r="S3" s="45" t="s">
        <v>18</v>
      </c>
      <c r="T3" s="117"/>
      <c r="U3" s="118"/>
      <c r="V3" s="118"/>
      <c r="W3" s="113"/>
      <c r="X3" s="113"/>
    </row>
    <row r="4" spans="1:24" s="115" customFormat="1" ht="18" customHeight="1">
      <c r="A4" s="10">
        <f>A3+1</f>
        <v>23</v>
      </c>
      <c r="B4" s="119" t="s">
        <v>59</v>
      </c>
      <c r="C4" s="117"/>
      <c r="D4" s="120"/>
      <c r="E4" s="45" t="str">
        <f>RankSeed!N2</f>
        <v>Team 1, Gruppe A</v>
      </c>
      <c r="F4" s="45" t="s">
        <v>13</v>
      </c>
      <c r="G4" s="45" t="str">
        <f>IF($H$2=$J$2,CONCATENATE("Winner Match #",$A$2),IF($H$2&gt;$J$2,$E$2,$G$2))</f>
        <v>Winner Match #21</v>
      </c>
      <c r="H4" s="121">
        <f t="shared" si="0"/>
      </c>
      <c r="I4" s="45" t="s">
        <v>18</v>
      </c>
      <c r="J4" s="121">
        <f t="shared" si="1"/>
      </c>
      <c r="K4" s="139">
        <f t="shared" si="2"/>
        <v>0</v>
      </c>
      <c r="L4" s="110"/>
      <c r="M4" s="81" t="s">
        <v>18</v>
      </c>
      <c r="N4" s="111"/>
      <c r="O4" s="111"/>
      <c r="P4" s="81" t="s">
        <v>18</v>
      </c>
      <c r="Q4" s="111"/>
      <c r="R4" s="109"/>
      <c r="S4" s="81" t="s">
        <v>18</v>
      </c>
      <c r="T4" s="109"/>
      <c r="U4" s="112"/>
      <c r="V4" s="112"/>
      <c r="W4" s="113"/>
      <c r="X4" s="114"/>
    </row>
    <row r="5" spans="1:24" s="108" customFormat="1" ht="18" customHeight="1">
      <c r="A5" s="10">
        <f>A4+1</f>
        <v>24</v>
      </c>
      <c r="B5" s="10" t="s">
        <v>59</v>
      </c>
      <c r="C5" s="117"/>
      <c r="D5" s="120"/>
      <c r="E5" s="45" t="str">
        <f>RankSeed!N3</f>
        <v>Team 1, Gruppe B</v>
      </c>
      <c r="F5" s="45" t="s">
        <v>13</v>
      </c>
      <c r="G5" s="45" t="str">
        <f>IF($H$3=$J$3,CONCATENATE("Winner Match #",$A$3),IF($H$3&gt;$J$3,$E$3,$G$3))</f>
        <v>Winner Match #22</v>
      </c>
      <c r="H5" s="121">
        <f t="shared" si="0"/>
      </c>
      <c r="I5" s="45" t="s">
        <v>18</v>
      </c>
      <c r="J5" s="121">
        <f t="shared" si="1"/>
      </c>
      <c r="K5" s="139">
        <f t="shared" si="2"/>
        <v>0</v>
      </c>
      <c r="L5" s="116"/>
      <c r="M5" s="45" t="s">
        <v>18</v>
      </c>
      <c r="N5" s="61"/>
      <c r="O5" s="61"/>
      <c r="P5" s="45" t="s">
        <v>18</v>
      </c>
      <c r="Q5" s="61"/>
      <c r="R5" s="117"/>
      <c r="S5" s="45" t="s">
        <v>18</v>
      </c>
      <c r="T5" s="117"/>
      <c r="U5" s="118"/>
      <c r="V5" s="118"/>
      <c r="W5" s="113"/>
      <c r="X5" s="113"/>
    </row>
    <row r="6" spans="1:24" s="108" customFormat="1" ht="18" customHeight="1">
      <c r="A6" s="10">
        <f>A5+1</f>
        <v>25</v>
      </c>
      <c r="B6" s="119" t="s">
        <v>19</v>
      </c>
      <c r="C6" s="117"/>
      <c r="D6" s="120"/>
      <c r="E6" s="45" t="str">
        <f>IF($H$4=$J$4,CONCATENATE("Loser Match #",$A$4),IF($H$4&lt;$J$4,$E$4,$G$4))</f>
        <v>Loser Match #23</v>
      </c>
      <c r="F6" s="45" t="s">
        <v>13</v>
      </c>
      <c r="G6" s="45" t="str">
        <f>IF($H$5=$J$5,CONCATENATE("Loser Match #",$A$5),IF($H$5&lt;$J$5,$E$5,$G$5))</f>
        <v>Loser Match #24</v>
      </c>
      <c r="H6" s="121">
        <f t="shared" si="0"/>
      </c>
      <c r="I6" s="45" t="s">
        <v>18</v>
      </c>
      <c r="J6" s="121">
        <f t="shared" si="1"/>
      </c>
      <c r="K6" s="139">
        <f t="shared" si="2"/>
        <v>0</v>
      </c>
      <c r="L6" s="116"/>
      <c r="M6" s="45" t="s">
        <v>18</v>
      </c>
      <c r="N6" s="61"/>
      <c r="O6" s="61"/>
      <c r="P6" s="45" t="s">
        <v>18</v>
      </c>
      <c r="Q6" s="61"/>
      <c r="R6" s="117"/>
      <c r="S6" s="45" t="s">
        <v>18</v>
      </c>
      <c r="T6" s="117"/>
      <c r="U6" s="118"/>
      <c r="V6" s="118"/>
      <c r="W6" s="113"/>
      <c r="X6" s="113"/>
    </row>
    <row r="7" spans="1:24" s="108" customFormat="1" ht="18" customHeight="1">
      <c r="A7" s="10">
        <f>A6+1</f>
        <v>26</v>
      </c>
      <c r="B7" s="119" t="s">
        <v>20</v>
      </c>
      <c r="C7" s="117"/>
      <c r="D7" s="120"/>
      <c r="E7" s="45" t="str">
        <f>IF($H$4=$J$4,CONCATENATE("Winner Match #",$A$4),IF($H$4&gt;$J$4,$E$4,$G$4))</f>
        <v>Winner Match #23</v>
      </c>
      <c r="F7" s="45" t="s">
        <v>13</v>
      </c>
      <c r="G7" s="45" t="str">
        <f>IF($H$5=$J$5,CONCATENATE("Winner Match #",$A$5),IF($H$5&gt;$J$5,$E$5,$G$5))</f>
        <v>Winner Match #24</v>
      </c>
      <c r="H7" s="121">
        <f t="shared" si="0"/>
      </c>
      <c r="I7" s="45" t="s">
        <v>18</v>
      </c>
      <c r="J7" s="121">
        <f t="shared" si="1"/>
      </c>
      <c r="K7" s="139">
        <f t="shared" si="2"/>
        <v>0</v>
      </c>
      <c r="L7" s="116"/>
      <c r="M7" s="45" t="s">
        <v>18</v>
      </c>
      <c r="N7" s="61"/>
      <c r="O7" s="61"/>
      <c r="P7" s="45" t="s">
        <v>18</v>
      </c>
      <c r="Q7" s="61"/>
      <c r="R7" s="117"/>
      <c r="S7" s="45" t="s">
        <v>18</v>
      </c>
      <c r="T7" s="117"/>
      <c r="U7" s="118"/>
      <c r="V7" s="118"/>
      <c r="W7" s="113"/>
      <c r="X7" s="113"/>
    </row>
    <row r="9" ht="15">
      <c r="A9" s="103"/>
    </row>
    <row r="10" ht="15">
      <c r="A10" s="103"/>
    </row>
  </sheetData>
  <sheetProtection formatCells="0" formatColumns="0" formatRows="0" selectLockedCells="1"/>
  <printOptions horizontalCentered="1"/>
  <pageMargins left="0.7480314960629921" right="0.7480314960629921" top="1.18" bottom="0.3937007874015748" header="0.3937007874015748" footer="0.3937007874015748"/>
  <pageSetup horizontalDpi="300" verticalDpi="300" orientation="landscape" paperSize="9" scale="120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1"/>
    </sheetView>
  </sheetViews>
  <sheetFormatPr defaultColWidth="11.421875" defaultRowHeight="12.75"/>
  <cols>
    <col min="1" max="1" width="3.00390625" style="1" customWidth="1"/>
    <col min="2" max="2" width="27.28125" style="0" customWidth="1"/>
    <col min="3" max="3" width="32.00390625" style="0" customWidth="1"/>
    <col min="4" max="4" width="17.57421875" style="0" customWidth="1"/>
    <col min="5" max="16384" width="8.7109375" style="0" customWidth="1"/>
  </cols>
  <sheetData>
    <row r="1" spans="1:4" ht="39" customHeight="1">
      <c r="A1" s="91" t="s">
        <v>34</v>
      </c>
      <c r="B1" s="92" t="s">
        <v>21</v>
      </c>
      <c r="C1" s="92" t="s">
        <v>49</v>
      </c>
      <c r="D1" s="93" t="s">
        <v>7</v>
      </c>
    </row>
    <row r="2" spans="1:4" ht="15.75" customHeight="1">
      <c r="A2" s="8">
        <v>1</v>
      </c>
      <c r="B2" s="17" t="str">
        <f>IF(Resultate!$H$7=Resultate!$J$7,"1. Rang",IF(Resultate!$H$7&gt;Resultate!$J$7,Resultate!$E$7,Resultate!$G$7))</f>
        <v>1. Rang</v>
      </c>
      <c r="C2" s="17" t="str">
        <f>IF(B2="1. Rang","mal schauen",VLOOKUP(B2,Anmeldung!$M$2:$N$11,2,FALSE))</f>
        <v>mal schauen</v>
      </c>
      <c r="D2" s="137" t="str">
        <f>IF(B2="1. Rang","zu Hause",VLOOKUP(B2,Anmeldung!$I$2:$J$9,2,FALSE))</f>
        <v>zu Hause</v>
      </c>
    </row>
    <row r="3" spans="1:4" ht="15.75" customHeight="1">
      <c r="A3" s="8">
        <f>SUM(A2,1)</f>
        <v>2</v>
      </c>
      <c r="B3" s="17" t="str">
        <f>IF(Resultate!$H$7=Resultate!$J$7,"2. Rang",IF(Resultate!$H$7&lt;Resultate!$J$7,Resultate!$E$7,Resultate!$G$7))</f>
        <v>2. Rang</v>
      </c>
      <c r="C3" s="17" t="str">
        <f>IF(B3="2. Rang","mal schauen",VLOOKUP(B3,Anmeldung!$M$2:$N$11,2,FALSE))</f>
        <v>mal schauen</v>
      </c>
      <c r="D3" s="137" t="str">
        <f>IF(B3="2. Rang","zu Hause",VLOOKUP(B3,Anmeldung!$I$2:$J$9,2,FALSE))</f>
        <v>zu Hause</v>
      </c>
    </row>
    <row r="4" spans="1:4" ht="15.75" customHeight="1">
      <c r="A4" s="8">
        <f>SUM(A3,1)</f>
        <v>3</v>
      </c>
      <c r="B4" s="17" t="str">
        <f>IF(Resultate!$H$6=Resultate!$J$6,"3. Rang",IF(Resultate!$H$6&gt;Resultate!$J$6,Resultate!$E$6,Resultate!$G$6))</f>
        <v>3. Rang</v>
      </c>
      <c r="C4" s="17" t="str">
        <f>IF(B4="3. Rang","mal schauen",VLOOKUP(B4,Anmeldung!$M$2:$N$11,2,FALSE))</f>
        <v>mal schauen</v>
      </c>
      <c r="D4" s="137" t="str">
        <f>IF(B4="3. Rang","zu Hause",VLOOKUP(B4,Anmeldung!$I$2:$J$9,2,FALSE))</f>
        <v>zu Hause</v>
      </c>
    </row>
    <row r="5" spans="1:4" ht="15.75" customHeight="1">
      <c r="A5" s="8">
        <f>SUM(A4,1)</f>
        <v>4</v>
      </c>
      <c r="B5" s="17" t="str">
        <f>IF(Resultate!$H$6=Resultate!$J$6,"4. Rang",IF(Resultate!$H$6&lt;Resultate!$J$6,Resultate!$E$6,Resultate!$G$6))</f>
        <v>4. Rang</v>
      </c>
      <c r="C5" s="17" t="str">
        <f>IF(B5="4. Rang","mal schauen",VLOOKUP(B5,Anmeldung!$M$2:$N$11,2,FALSE))</f>
        <v>mal schauen</v>
      </c>
      <c r="D5" s="137" t="str">
        <f>IF(B5="4. Rang","zu Hause",VLOOKUP(B5,Anmeldung!$I$2:$J$9,2,FALSE))</f>
        <v>zu Hause</v>
      </c>
    </row>
    <row r="6" spans="1:4" ht="15.75" customHeight="1">
      <c r="A6" s="8">
        <f>SUM(A5,1)</f>
        <v>5</v>
      </c>
      <c r="B6" s="17" t="str">
        <f>IF(Resultate!$H2=Resultate!$J2,"5. Rang",IF(Resultate!$H2&lt;Resultate!$J2,Resultate!$E2,Resultate!$G2))</f>
        <v>5. Rang</v>
      </c>
      <c r="C6" s="17" t="str">
        <f>IF(B6="5. Rang","mal schauen",VLOOKUP(B6,Anmeldung!$M$2:$N$11,2,FALSE))</f>
        <v>mal schauen</v>
      </c>
      <c r="D6" s="137" t="str">
        <f>IF(B6="5. Rang","zu Hause",VLOOKUP(B6,Anmeldung!$I$2:$J$9,2,FALSE))</f>
        <v>zu Hause</v>
      </c>
    </row>
    <row r="7" spans="1:4" ht="15.75" customHeight="1">
      <c r="A7" s="8">
        <v>5</v>
      </c>
      <c r="B7" s="17" t="str">
        <f>IF(Resultate!$H3=Resultate!$J3,"5. Rang",IF(Resultate!$H3&lt;Resultate!$J3,Resultate!$E3,Resultate!$G3))</f>
        <v>5. Rang</v>
      </c>
      <c r="C7" s="17" t="str">
        <f>IF(B7="5. Rang","mal schauen",VLOOKUP(B7,Anmeldung!$M$2:$N$11,2,FALSE))</f>
        <v>mal schauen</v>
      </c>
      <c r="D7" s="137" t="str">
        <f>IF(B7="5. Rang","zu Hause",VLOOKUP(B7,Anmeldung!$I$2:$J$9,2,FALSE))</f>
        <v>zu Hause</v>
      </c>
    </row>
    <row r="8" spans="1:4" ht="15.75" customHeight="1">
      <c r="A8" s="8">
        <v>7</v>
      </c>
      <c r="B8" s="17" t="str">
        <f>IF(RankSeed!N9="Team 4, Gruppe A","7. Rang",RankSeed!N9)</f>
        <v>7. Rang</v>
      </c>
      <c r="C8" s="17" t="str">
        <f>IF(B8="7. Rang","mal schauen",VLOOKUP(B8,Anmeldung!$M$2:$N$11,2,FALSE))</f>
        <v>mal schauen</v>
      </c>
      <c r="D8" s="137" t="str">
        <f>IF(B8="7. Rang","zu Hause",VLOOKUP(B8,Anmeldung!$I$2:$J$9,2,FALSE))</f>
        <v>zu Hause</v>
      </c>
    </row>
    <row r="9" spans="1:4" ht="15.75" customHeight="1">
      <c r="A9" s="8">
        <v>7</v>
      </c>
      <c r="B9" s="17" t="str">
        <f>IF(RankSeed!N10="Team 4, Gruppe B","7. Rang",RankSeed!N10)</f>
        <v>7. Rang</v>
      </c>
      <c r="C9" s="17" t="str">
        <f>IF(B9="7. Rang","mal schauen",VLOOKUP(B9,Anmeldung!$M$2:$N$11,2,FALSE))</f>
        <v>mal schauen</v>
      </c>
      <c r="D9" s="137" t="str">
        <f>IF(B9="7. Rang","zu Hause",VLOOKUP(B9,Anmeldung!$I$2:$J$9,2,FALSE))</f>
        <v>zu Hause</v>
      </c>
    </row>
    <row r="10" spans="1:4" ht="15.75" customHeight="1">
      <c r="A10" s="8">
        <v>9</v>
      </c>
      <c r="B10" s="17" t="str">
        <f>IF(RankSeed!N11="Team 5, Gruppe A","9. Rang",RankSeed!N11)</f>
        <v>9. Rang</v>
      </c>
      <c r="C10" s="17" t="str">
        <f>IF(B10="9. Rang","mal schauen",VLOOKUP(B10,Anmeldung!$M$2:$N$11,2,FALSE))</f>
        <v>mal schauen</v>
      </c>
      <c r="D10" s="137" t="str">
        <f>IF(B10="9. Rang","zu Hause",VLOOKUP(B10,Anmeldung!$I$2:$J$11,2,FALSE))</f>
        <v>zu Hause</v>
      </c>
    </row>
    <row r="11" spans="1:4" ht="15.75" customHeight="1">
      <c r="A11" s="8">
        <v>9</v>
      </c>
      <c r="B11" s="17" t="str">
        <f>IF(RankSeed!N12="Team 5, Gruppe B","9. Rang",RankSeed!N12)</f>
        <v>9. Rang</v>
      </c>
      <c r="C11" s="17" t="str">
        <f>IF(B11="9. Rang","mal schauen",VLOOKUP(B11,Anmeldung!$M$2:$N$11,2,FALSE))</f>
        <v>mal schauen</v>
      </c>
      <c r="D11" s="137" t="str">
        <f>IF(B11="9. Rang","zu Hause",VLOOKUP(B11,Anmeldung!$I$2:$J$11,2,FALSE))</f>
        <v>zu Hause</v>
      </c>
    </row>
    <row r="13" ht="12.75">
      <c r="A13" s="70" t="s">
        <v>47</v>
      </c>
    </row>
  </sheetData>
  <sheetProtection selectLockedCells="1"/>
  <printOptions gridLines="1" horizontalCentered="1"/>
  <pageMargins left="0.58" right="0.59" top="1.5748031496062993" bottom="0.984251968503937" header="0.5118110236220472" footer="0.5118110236220472"/>
  <pageSetup horizontalDpi="300" verticalDpi="300" orientation="landscape" paperSize="9" scale="150" r:id="rId1"/>
  <headerFooter alignWithMargins="0">
    <oddHeader>&amp;C&amp;"Arial,Fett"&amp;12Schlussrangliste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E-Quadrat GmbH</cp:lastModifiedBy>
  <cp:lastPrinted>2014-04-05T16:02:12Z</cp:lastPrinted>
  <dcterms:created xsi:type="dcterms:W3CDTF">1997-01-17T14:30:38Z</dcterms:created>
  <dcterms:modified xsi:type="dcterms:W3CDTF">2014-06-24T09:00:03Z</dcterms:modified>
  <cp:category/>
  <cp:version/>
  <cp:contentType/>
  <cp:contentStatus/>
</cp:coreProperties>
</file>