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'Anmeldung'!$A$1:$K$34</definedName>
    <definedName name="_xlnm.Print_Area" localSheetId="5">'Rangliste'!$A$1:$D$25</definedName>
    <definedName name="_xlnm.Print_Area" localSheetId="2">'RankSeed'!$A$1:$N$41</definedName>
    <definedName name="_xlnm.Print_Area" localSheetId="3">'Resultate'!$A$1:$T$31</definedName>
    <definedName name="_xlnm.Print_Area" localSheetId="4">'Tableau'!$A$1:$F$63</definedName>
    <definedName name="_xlnm.Print_Area" localSheetId="1">'Vorrunde'!$A$1:$T$25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<sst xmlns="http://schemas.openxmlformats.org/spreadsheetml/2006/main" count="469" uniqueCount="94">
  <si>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</si>
  <si>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</si>
  <si>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</si>
  <si>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</si>
  <si>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</si>
  <si>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</si>
  <si>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</si>
  <si>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</si>
  <si>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</si>
  <si>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</si>
  <si>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</si>
  <si>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</si>
  <si>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</si>
  <si>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</si>
  <si>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</si>
  <si>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</si>
  <si>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</si>
  <si>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</si>
  <si>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II</t>
  </si>
  <si>
    <t>SF</t>
  </si>
  <si>
    <t>3/4</t>
  </si>
  <si>
    <t>F</t>
  </si>
  <si>
    <t>Team</t>
  </si>
  <si>
    <t>1. Satz</t>
  </si>
  <si>
    <t>2. Satz</t>
  </si>
  <si>
    <t>Gruppe A</t>
  </si>
  <si>
    <t>Gruppe D</t>
  </si>
  <si>
    <t>Gruppe C</t>
  </si>
  <si>
    <t>Gruppe B</t>
  </si>
  <si>
    <t>Gruppe</t>
  </si>
  <si>
    <t>A</t>
  </si>
  <si>
    <t>B</t>
  </si>
  <si>
    <t>C</t>
  </si>
  <si>
    <t>D</t>
  </si>
  <si>
    <t>Sätze</t>
  </si>
  <si>
    <t>:</t>
  </si>
  <si>
    <t>Diff</t>
  </si>
  <si>
    <t>Punkte</t>
  </si>
  <si>
    <t>Quotient</t>
  </si>
  <si>
    <t>Rang</t>
  </si>
  <si>
    <t>A1</t>
  </si>
  <si>
    <t>B1</t>
  </si>
  <si>
    <t>C1</t>
  </si>
  <si>
    <t>D1</t>
  </si>
  <si>
    <t>B2</t>
  </si>
  <si>
    <t>A2</t>
  </si>
  <si>
    <t>C2</t>
  </si>
  <si>
    <t>D2</t>
  </si>
  <si>
    <t>Startzeit</t>
  </si>
  <si>
    <t>A3</t>
  </si>
  <si>
    <t>B3</t>
  </si>
  <si>
    <t>C3</t>
  </si>
  <si>
    <t>D3</t>
  </si>
  <si>
    <t>Player 1 / Player 2</t>
  </si>
  <si>
    <t>Zur einfacheren Bedienung wird die Aufhebung des Blattschutzes nicht empfohlen (rvz)</t>
  </si>
  <si>
    <t>Semi finals</t>
  </si>
  <si>
    <t>Final</t>
  </si>
  <si>
    <t>Result</t>
  </si>
  <si>
    <t>Time</t>
  </si>
  <si>
    <t>1. Set</t>
  </si>
  <si>
    <t>2. Set</t>
  </si>
  <si>
    <t>3. Set</t>
  </si>
  <si>
    <t>Start time</t>
  </si>
  <si>
    <t>End time</t>
  </si>
  <si>
    <t>III</t>
  </si>
  <si>
    <t>Gruppe E</t>
  </si>
  <si>
    <t>Gruppe F</t>
  </si>
  <si>
    <t>E</t>
  </si>
  <si>
    <t>Richtzeit</t>
  </si>
  <si>
    <t>E3</t>
  </si>
  <si>
    <t>F3</t>
  </si>
  <si>
    <t>E1</t>
  </si>
  <si>
    <t>F1</t>
  </si>
  <si>
    <t>E2</t>
  </si>
  <si>
    <t>F2</t>
  </si>
  <si>
    <t>3./4. Rang</t>
  </si>
  <si>
    <t>Gruppe G</t>
  </si>
  <si>
    <t>Gruppe H</t>
  </si>
  <si>
    <t>G</t>
  </si>
  <si>
    <t>H</t>
  </si>
  <si>
    <t>G3</t>
  </si>
  <si>
    <t>H3</t>
  </si>
  <si>
    <t>G2</t>
  </si>
  <si>
    <t>H1</t>
  </si>
  <si>
    <t>H2</t>
  </si>
  <si>
    <t>G1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</si>
  <si>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</si>
  <si>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</si>
  <si>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</si>
  <si>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</si>
  <si>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</si>
  <si>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</si>
  <si>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</si>
  <si>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Lizenz</t>
  </si>
</sst>
</file>

<file path=xl/styles.xml><?xml version="1.0" encoding="utf-8"?>
<styleSheet xmlns="http://schemas.openxmlformats.org/spreadsheetml/2006/main">
  <numFmts count="5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h:mm"/>
    <numFmt numFmtId="211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7" fontId="7" fillId="0" borderId="0" xfId="0" applyNumberFormat="1" applyFont="1" applyAlignment="1">
      <alignment horizontal="left" vertical="center"/>
    </xf>
    <xf numFmtId="37" fontId="1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05" fontId="0" fillId="0" borderId="26" xfId="0" applyNumberFormat="1" applyBorder="1" applyAlignment="1">
      <alignment horizontal="center"/>
    </xf>
    <xf numFmtId="205" fontId="0" fillId="0" borderId="27" xfId="0" applyNumberFormat="1" applyBorder="1" applyAlignment="1">
      <alignment horizontal="center"/>
    </xf>
    <xf numFmtId="205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20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2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2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37" fontId="5" fillId="0" borderId="20" xfId="0" applyNumberFormat="1" applyFont="1" applyBorder="1" applyAlignment="1">
      <alignment horizontal="right" vertical="center"/>
    </xf>
    <xf numFmtId="37" fontId="7" fillId="0" borderId="29" xfId="0" applyNumberFormat="1" applyFont="1" applyBorder="1" applyAlignment="1">
      <alignment horizontal="left" vertical="center"/>
    </xf>
    <xf numFmtId="37" fontId="7" fillId="0" borderId="0" xfId="0" applyNumberFormat="1" applyFont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right" vertical="center"/>
    </xf>
    <xf numFmtId="37" fontId="10" fillId="0" borderId="20" xfId="0" applyNumberFormat="1" applyFont="1" applyBorder="1" applyAlignment="1">
      <alignment horizontal="left" vertical="center"/>
    </xf>
    <xf numFmtId="37" fontId="7" fillId="0" borderId="28" xfId="0" applyNumberFormat="1" applyFont="1" applyBorder="1" applyAlignment="1">
      <alignment horizontal="right" vertical="center"/>
    </xf>
    <xf numFmtId="37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7" fontId="7" fillId="0" borderId="2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textRotation="90" wrapText="1"/>
      <protection/>
    </xf>
    <xf numFmtId="0" fontId="5" fillId="0" borderId="37" xfId="0" applyFont="1" applyBorder="1" applyAlignment="1" applyProtection="1">
      <alignment horizontal="center" vertical="center" textRotation="90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Continuous" vertical="center"/>
      <protection/>
    </xf>
    <xf numFmtId="0" fontId="5" fillId="0" borderId="38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210" fontId="4" fillId="0" borderId="33" xfId="0" applyNumberFormat="1" applyFont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210" fontId="0" fillId="35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210" fontId="4" fillId="0" borderId="40" xfId="0" applyNumberFormat="1" applyFont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210" fontId="0" fillId="35" borderId="18" xfId="0" applyNumberForma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20" fontId="4" fillId="35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210" fontId="4" fillId="0" borderId="42" xfId="0" applyNumberFormat="1" applyFont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210" fontId="0" fillId="35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5" fillId="0" borderId="43" xfId="0" applyFont="1" applyBorder="1" applyAlignment="1">
      <alignment horizontal="centerContinuous" vertical="center"/>
    </xf>
    <xf numFmtId="0" fontId="5" fillId="0" borderId="44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210" fontId="0" fillId="35" borderId="32" xfId="0" applyNumberFormat="1" applyFill="1" applyBorder="1" applyAlignment="1" applyProtection="1">
      <alignment horizontal="center" vertical="center"/>
      <protection locked="0"/>
    </xf>
    <xf numFmtId="210" fontId="0" fillId="35" borderId="33" xfId="0" applyNumberForma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vertical="center"/>
    </xf>
    <xf numFmtId="3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7" fontId="10" fillId="0" borderId="23" xfId="0" applyNumberFormat="1" applyFont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37" fontId="5" fillId="0" borderId="2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37" fontId="1" fillId="33" borderId="34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7" fillId="0" borderId="3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205" fontId="0" fillId="0" borderId="35" xfId="0" applyNumberFormat="1" applyBorder="1" applyAlignment="1">
      <alignment horizontal="center"/>
    </xf>
    <xf numFmtId="205" fontId="0" fillId="0" borderId="34" xfId="0" applyNumberFormat="1" applyBorder="1" applyAlignment="1">
      <alignment horizontal="center"/>
    </xf>
    <xf numFmtId="205" fontId="0" fillId="0" borderId="23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0" fillId="36" borderId="0" xfId="51" applyFill="1" applyBorder="1" applyAlignment="1">
      <alignment horizontal="center"/>
      <protection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0" borderId="0" xfId="51" applyFill="1" applyBorder="1" applyAlignment="1">
      <alignment horizont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48" xfId="0" applyFont="1" applyBorder="1" applyAlignment="1" applyProtection="1">
      <alignment horizontal="centerContinuous" vertical="center"/>
      <protection/>
    </xf>
    <xf numFmtId="0" fontId="0" fillId="35" borderId="35" xfId="0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8.7109375" style="2" customWidth="1"/>
    <col min="5" max="5" width="13.140625" style="0" customWidth="1"/>
    <col min="6" max="6" width="10.7109375" style="2" customWidth="1"/>
    <col min="7" max="7" width="7.281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9.00390625" style="0" hidden="1" customWidth="1"/>
    <col min="13" max="13" width="14.57421875" style="0" hidden="1" customWidth="1"/>
  </cols>
  <sheetData>
    <row r="1" spans="1:13" ht="39.75" customHeight="1" thickBot="1" thickTop="1">
      <c r="A1" s="12" t="s">
        <v>0</v>
      </c>
      <c r="B1" s="13" t="s">
        <v>1</v>
      </c>
      <c r="C1" s="13" t="s">
        <v>2</v>
      </c>
      <c r="D1" s="14" t="s">
        <v>93</v>
      </c>
      <c r="E1" s="13" t="s">
        <v>3</v>
      </c>
      <c r="F1" s="13" t="s">
        <v>2</v>
      </c>
      <c r="G1" s="14" t="s">
        <v>93</v>
      </c>
      <c r="H1" s="14" t="s">
        <v>4</v>
      </c>
      <c r="I1" s="15" t="s">
        <v>5</v>
      </c>
      <c r="J1" s="14" t="s">
        <v>6</v>
      </c>
      <c r="K1" s="14" t="s">
        <v>7</v>
      </c>
      <c r="L1" s="200" t="s">
        <v>0</v>
      </c>
      <c r="M1" s="15" t="s">
        <v>5</v>
      </c>
    </row>
    <row r="2" spans="1:13" s="11" customFormat="1" ht="13.5" customHeight="1" thickTop="1">
      <c r="A2" s="6">
        <v>1</v>
      </c>
      <c r="B2" s="92"/>
      <c r="C2" s="90"/>
      <c r="D2" s="73"/>
      <c r="E2" s="92"/>
      <c r="F2" s="90"/>
      <c r="G2" s="207"/>
      <c r="H2" s="73"/>
      <c r="I2" s="4" t="str">
        <f>CONCATENATE($B$2," / ",$E$2)</f>
        <v> / </v>
      </c>
      <c r="J2" s="90"/>
      <c r="K2" s="75"/>
      <c r="L2" s="43">
        <v>1</v>
      </c>
      <c r="M2" s="4" t="str">
        <f>CONCATENATE($B$2," / ",$E$2)</f>
        <v> / </v>
      </c>
    </row>
    <row r="3" spans="1:13" s="11" customFormat="1" ht="13.5" customHeight="1">
      <c r="A3" s="7">
        <v>2</v>
      </c>
      <c r="B3" s="93"/>
      <c r="C3" s="91"/>
      <c r="D3" s="74"/>
      <c r="E3" s="93"/>
      <c r="F3" s="91"/>
      <c r="G3" s="208"/>
      <c r="H3" s="74"/>
      <c r="I3" s="5" t="str">
        <f>CONCATENATE($B$3," / ",$E$3)</f>
        <v> / </v>
      </c>
      <c r="J3" s="91"/>
      <c r="K3" s="76"/>
      <c r="L3" s="8">
        <v>2</v>
      </c>
      <c r="M3" s="5" t="str">
        <f>CONCATENATE($B$3," / ",$E$3)</f>
        <v> / </v>
      </c>
    </row>
    <row r="4" spans="1:13" s="11" customFormat="1" ht="13.5" customHeight="1">
      <c r="A4" s="7">
        <v>3</v>
      </c>
      <c r="B4" s="93"/>
      <c r="C4" s="91"/>
      <c r="D4" s="74"/>
      <c r="E4" s="93"/>
      <c r="F4" s="91"/>
      <c r="G4" s="208"/>
      <c r="H4" s="74"/>
      <c r="I4" s="5" t="str">
        <f>CONCATENATE($B$4," / ",$E$4)</f>
        <v> / </v>
      </c>
      <c r="J4" s="91"/>
      <c r="K4" s="76"/>
      <c r="L4" s="8">
        <v>3</v>
      </c>
      <c r="M4" s="5" t="str">
        <f>CONCATENATE($B$4," / ",$E$4)</f>
        <v> / </v>
      </c>
    </row>
    <row r="5" spans="1:13" s="11" customFormat="1" ht="13.5" customHeight="1">
      <c r="A5" s="7">
        <v>4</v>
      </c>
      <c r="B5" s="93"/>
      <c r="C5" s="91"/>
      <c r="D5" s="74"/>
      <c r="E5" s="93"/>
      <c r="F5" s="91"/>
      <c r="G5" s="208"/>
      <c r="H5" s="74"/>
      <c r="I5" s="5" t="str">
        <f>CONCATENATE($B$5," / ",$E$5)</f>
        <v> / </v>
      </c>
      <c r="J5" s="91"/>
      <c r="K5" s="76"/>
      <c r="L5" s="8">
        <v>4</v>
      </c>
      <c r="M5" s="5" t="str">
        <f>CONCATENATE($B$5," / ",$E$5)</f>
        <v> / </v>
      </c>
    </row>
    <row r="6" spans="1:13" s="11" customFormat="1" ht="13.5" customHeight="1">
      <c r="A6" s="7">
        <v>5</v>
      </c>
      <c r="B6" s="93"/>
      <c r="C6" s="91"/>
      <c r="D6" s="74"/>
      <c r="E6" s="93"/>
      <c r="F6" s="91"/>
      <c r="G6" s="208"/>
      <c r="H6" s="74"/>
      <c r="I6" s="5" t="str">
        <f>CONCATENATE($B$6," / ",$E$6)</f>
        <v> / </v>
      </c>
      <c r="J6" s="91"/>
      <c r="K6" s="76"/>
      <c r="L6" s="8">
        <v>5</v>
      </c>
      <c r="M6" s="5" t="str">
        <f>CONCATENATE($B$6," / ",$E$6)</f>
        <v> / </v>
      </c>
    </row>
    <row r="7" spans="1:13" s="11" customFormat="1" ht="13.5" customHeight="1">
      <c r="A7" s="7">
        <v>6</v>
      </c>
      <c r="B7" s="93"/>
      <c r="C7" s="91"/>
      <c r="D7" s="74"/>
      <c r="E7" s="93"/>
      <c r="F7" s="91"/>
      <c r="G7" s="208"/>
      <c r="H7" s="74"/>
      <c r="I7" s="5" t="str">
        <f>CONCATENATE($B$7," / ",$E$7)</f>
        <v> / </v>
      </c>
      <c r="J7" s="91"/>
      <c r="K7" s="76"/>
      <c r="L7" s="8">
        <v>6</v>
      </c>
      <c r="M7" s="5" t="str">
        <f>CONCATENATE($B$7," / ",$E$7)</f>
        <v> / </v>
      </c>
    </row>
    <row r="8" spans="1:13" s="11" customFormat="1" ht="13.5" customHeight="1">
      <c r="A8" s="7">
        <v>7</v>
      </c>
      <c r="B8" s="93"/>
      <c r="C8" s="91"/>
      <c r="D8" s="74"/>
      <c r="E8" s="93"/>
      <c r="F8" s="91"/>
      <c r="G8" s="208"/>
      <c r="H8" s="74"/>
      <c r="I8" s="5" t="str">
        <f>CONCATENATE($B$8," / ",$E$8)</f>
        <v> / </v>
      </c>
      <c r="J8" s="91"/>
      <c r="K8" s="76"/>
      <c r="L8" s="8">
        <v>7</v>
      </c>
      <c r="M8" s="5" t="str">
        <f>CONCATENATE($B$8," / ",$E$8)</f>
        <v> / </v>
      </c>
    </row>
    <row r="9" spans="1:13" s="11" customFormat="1" ht="13.5" customHeight="1">
      <c r="A9" s="7">
        <v>8</v>
      </c>
      <c r="B9" s="93"/>
      <c r="C9" s="91"/>
      <c r="D9" s="74"/>
      <c r="E9" s="93"/>
      <c r="F9" s="91"/>
      <c r="G9" s="208"/>
      <c r="H9" s="74"/>
      <c r="I9" s="5" t="str">
        <f>CONCATENATE($B$9," / ",$E$9)</f>
        <v> / </v>
      </c>
      <c r="J9" s="91"/>
      <c r="K9" s="76"/>
      <c r="L9" s="8">
        <v>8</v>
      </c>
      <c r="M9" s="5" t="str">
        <f>CONCATENATE($B$9," / ",$E$9)</f>
        <v> / </v>
      </c>
    </row>
    <row r="10" spans="1:13" s="11" customFormat="1" ht="13.5" customHeight="1">
      <c r="A10" s="36">
        <v>9</v>
      </c>
      <c r="B10" s="93"/>
      <c r="C10" s="91"/>
      <c r="D10" s="74"/>
      <c r="E10" s="93"/>
      <c r="F10" s="91"/>
      <c r="G10" s="208"/>
      <c r="H10" s="74"/>
      <c r="I10" s="5" t="str">
        <f>CONCATENATE($B$10," / ",$E$10)</f>
        <v> / </v>
      </c>
      <c r="J10" s="91"/>
      <c r="K10" s="76"/>
      <c r="L10" s="8">
        <v>9</v>
      </c>
      <c r="M10" s="5" t="str">
        <f>CONCATENATE($B$10," / ",$E$10)</f>
        <v> / </v>
      </c>
    </row>
    <row r="11" spans="1:13" s="11" customFormat="1" ht="13.5" customHeight="1">
      <c r="A11" s="7">
        <v>10</v>
      </c>
      <c r="B11" s="93"/>
      <c r="C11" s="91"/>
      <c r="D11" s="74"/>
      <c r="E11" s="93"/>
      <c r="F11" s="91"/>
      <c r="G11" s="208"/>
      <c r="H11" s="74"/>
      <c r="I11" s="5" t="str">
        <f>CONCATENATE($B$11," / ",$E$11)</f>
        <v> / </v>
      </c>
      <c r="J11" s="91"/>
      <c r="K11" s="76"/>
      <c r="L11" s="8">
        <v>10</v>
      </c>
      <c r="M11" s="5" t="str">
        <f>CONCATENATE($B$11," / ",$E$11)</f>
        <v> / </v>
      </c>
    </row>
    <row r="12" spans="1:13" s="11" customFormat="1" ht="13.5" customHeight="1">
      <c r="A12" s="7">
        <v>11</v>
      </c>
      <c r="B12" s="93"/>
      <c r="C12" s="91"/>
      <c r="D12" s="74"/>
      <c r="E12" s="93"/>
      <c r="F12" s="91"/>
      <c r="G12" s="208"/>
      <c r="H12" s="74"/>
      <c r="I12" s="5" t="str">
        <f>CONCATENATE($B$12," / ",$E$12)</f>
        <v> / </v>
      </c>
      <c r="J12" s="91"/>
      <c r="K12" s="76"/>
      <c r="L12" s="8">
        <v>11</v>
      </c>
      <c r="M12" s="5" t="str">
        <f>CONCATENATE($B$12," / ",$E$12)</f>
        <v> / </v>
      </c>
    </row>
    <row r="13" spans="1:13" s="11" customFormat="1" ht="13.5" customHeight="1">
      <c r="A13" s="7">
        <v>12</v>
      </c>
      <c r="B13" s="93"/>
      <c r="C13" s="91"/>
      <c r="D13" s="74"/>
      <c r="E13" s="93"/>
      <c r="F13" s="91"/>
      <c r="G13" s="208"/>
      <c r="H13" s="74"/>
      <c r="I13" s="5" t="str">
        <f>CONCATENATE($B$13," / ",$E$13)</f>
        <v> / </v>
      </c>
      <c r="J13" s="91"/>
      <c r="K13" s="76"/>
      <c r="L13" s="8">
        <v>12</v>
      </c>
      <c r="M13" s="5" t="str">
        <f>CONCATENATE($B$13," / ",$E$13)</f>
        <v> / </v>
      </c>
    </row>
    <row r="14" spans="1:13" s="11" customFormat="1" ht="13.5" customHeight="1">
      <c r="A14" s="36">
        <v>13</v>
      </c>
      <c r="B14" s="93"/>
      <c r="C14" s="91"/>
      <c r="D14" s="74"/>
      <c r="E14" s="93"/>
      <c r="F14" s="91"/>
      <c r="G14" s="208"/>
      <c r="H14" s="74"/>
      <c r="I14" s="5" t="str">
        <f>CONCATENATE($B$14," / ",$E$14)</f>
        <v> / </v>
      </c>
      <c r="J14" s="91"/>
      <c r="K14" s="76"/>
      <c r="L14" s="8">
        <v>13</v>
      </c>
      <c r="M14" s="5" t="str">
        <f>CONCATENATE($B$14," / ",$E$14)</f>
        <v> / </v>
      </c>
    </row>
    <row r="15" spans="1:13" s="11" customFormat="1" ht="13.5" customHeight="1">
      <c r="A15" s="7">
        <v>14</v>
      </c>
      <c r="B15" s="93"/>
      <c r="C15" s="91"/>
      <c r="D15" s="74"/>
      <c r="E15" s="93"/>
      <c r="F15" s="91"/>
      <c r="G15" s="208"/>
      <c r="H15" s="74"/>
      <c r="I15" s="5" t="str">
        <f>CONCATENATE($B$15," / ",$E$15)</f>
        <v> / </v>
      </c>
      <c r="J15" s="91"/>
      <c r="K15" s="76"/>
      <c r="L15" s="8">
        <v>14</v>
      </c>
      <c r="M15" s="5" t="str">
        <f>CONCATENATE($B$15," / ",$E$15)</f>
        <v> / </v>
      </c>
    </row>
    <row r="16" spans="1:13" s="11" customFormat="1" ht="13.5" customHeight="1">
      <c r="A16" s="7">
        <v>15</v>
      </c>
      <c r="B16" s="93"/>
      <c r="C16" s="91"/>
      <c r="D16" s="74"/>
      <c r="E16" s="93"/>
      <c r="F16" s="91"/>
      <c r="G16" s="208"/>
      <c r="H16" s="74"/>
      <c r="I16" s="5" t="str">
        <f>CONCATENATE($B$16," / ",$E$16)</f>
        <v> / </v>
      </c>
      <c r="J16" s="91"/>
      <c r="K16" s="76"/>
      <c r="L16" s="8">
        <v>15</v>
      </c>
      <c r="M16" s="5" t="str">
        <f>CONCATENATE($B$16," / ",$E$16)</f>
        <v> / </v>
      </c>
    </row>
    <row r="17" spans="1:13" s="11" customFormat="1" ht="13.5" customHeight="1">
      <c r="A17" s="7">
        <v>16</v>
      </c>
      <c r="B17" s="93"/>
      <c r="C17" s="91"/>
      <c r="D17" s="74"/>
      <c r="E17" s="93"/>
      <c r="F17" s="91"/>
      <c r="G17" s="208"/>
      <c r="H17" s="74"/>
      <c r="I17" s="5" t="str">
        <f>CONCATENATE($B$17," / ",$E$17)</f>
        <v> / </v>
      </c>
      <c r="J17" s="91"/>
      <c r="K17" s="76"/>
      <c r="L17" s="8">
        <v>16</v>
      </c>
      <c r="M17" s="5" t="str">
        <f>CONCATENATE($B$17," / ",$E$17)</f>
        <v> / </v>
      </c>
    </row>
    <row r="18" spans="1:13" s="11" customFormat="1" ht="13.5" customHeight="1">
      <c r="A18" s="7">
        <v>17</v>
      </c>
      <c r="B18" s="93"/>
      <c r="C18" s="91"/>
      <c r="D18" s="74"/>
      <c r="E18" s="93"/>
      <c r="F18" s="91"/>
      <c r="G18" s="208"/>
      <c r="H18" s="74"/>
      <c r="I18" s="5" t="str">
        <f>CONCATENATE($B$18," / ",$E$18)</f>
        <v> / </v>
      </c>
      <c r="J18" s="91"/>
      <c r="K18" s="76"/>
      <c r="L18" s="8">
        <v>17</v>
      </c>
      <c r="M18" s="5" t="str">
        <f>CONCATENATE($B$10," / ",$E$10)</f>
        <v> / </v>
      </c>
    </row>
    <row r="19" spans="1:13" s="11" customFormat="1" ht="13.5" customHeight="1">
      <c r="A19" s="7">
        <v>18</v>
      </c>
      <c r="B19" s="93"/>
      <c r="C19" s="91"/>
      <c r="D19" s="74"/>
      <c r="E19" s="93"/>
      <c r="F19" s="91"/>
      <c r="G19" s="208"/>
      <c r="H19" s="74"/>
      <c r="I19" s="5" t="str">
        <f>CONCATENATE($B$19," / ",$E$19)</f>
        <v> / </v>
      </c>
      <c r="J19" s="91"/>
      <c r="K19" s="76"/>
      <c r="L19" s="8">
        <v>18</v>
      </c>
      <c r="M19" s="5" t="str">
        <f>CONCATENATE($B$11," / ",$E$11)</f>
        <v> / </v>
      </c>
    </row>
    <row r="20" spans="1:13" s="11" customFormat="1" ht="13.5" customHeight="1">
      <c r="A20" s="7">
        <v>19</v>
      </c>
      <c r="B20" s="93"/>
      <c r="C20" s="91"/>
      <c r="D20" s="74"/>
      <c r="E20" s="93"/>
      <c r="F20" s="91"/>
      <c r="G20" s="208"/>
      <c r="H20" s="74"/>
      <c r="I20" s="5" t="str">
        <f>CONCATENATE($B$20," / ",$E$20)</f>
        <v> / </v>
      </c>
      <c r="J20" s="91"/>
      <c r="K20" s="76"/>
      <c r="L20" s="8">
        <v>19</v>
      </c>
      <c r="M20" s="5" t="str">
        <f>CONCATENATE($B$12," / ",$E$12)</f>
        <v> / </v>
      </c>
    </row>
    <row r="21" spans="1:13" s="11" customFormat="1" ht="13.5" customHeight="1">
      <c r="A21" s="7">
        <v>20</v>
      </c>
      <c r="B21" s="93"/>
      <c r="C21" s="91"/>
      <c r="D21" s="74"/>
      <c r="E21" s="93"/>
      <c r="F21" s="91"/>
      <c r="G21" s="208"/>
      <c r="H21" s="74"/>
      <c r="I21" s="5" t="str">
        <f>CONCATENATE($B$21," / ",$E$21)</f>
        <v> / </v>
      </c>
      <c r="J21" s="91"/>
      <c r="K21" s="76"/>
      <c r="L21" s="8">
        <v>20</v>
      </c>
      <c r="M21" s="5" t="str">
        <f>CONCATENATE($B$13," / ",$E$13)</f>
        <v> / </v>
      </c>
    </row>
    <row r="22" spans="1:13" s="11" customFormat="1" ht="13.5" customHeight="1">
      <c r="A22" s="7">
        <v>21</v>
      </c>
      <c r="B22" s="93"/>
      <c r="C22" s="91"/>
      <c r="D22" s="74"/>
      <c r="E22" s="93"/>
      <c r="F22" s="91"/>
      <c r="G22" s="208"/>
      <c r="H22" s="74"/>
      <c r="I22" s="5" t="str">
        <f>CONCATENATE($B$22," / ",$E$22)</f>
        <v> / </v>
      </c>
      <c r="J22" s="91"/>
      <c r="K22" s="76"/>
      <c r="L22" s="8">
        <v>21</v>
      </c>
      <c r="M22" s="5" t="str">
        <f>CONCATENATE($B$14," / ",$E$14)</f>
        <v> / </v>
      </c>
    </row>
    <row r="23" spans="1:13" s="11" customFormat="1" ht="13.5" customHeight="1">
      <c r="A23" s="7">
        <v>22</v>
      </c>
      <c r="B23" s="93"/>
      <c r="C23" s="91"/>
      <c r="D23" s="74"/>
      <c r="E23" s="93"/>
      <c r="F23" s="91"/>
      <c r="G23" s="208"/>
      <c r="H23" s="74"/>
      <c r="I23" s="5" t="str">
        <f>CONCATENATE($B$23," / ",$E$23)</f>
        <v> / </v>
      </c>
      <c r="J23" s="91"/>
      <c r="K23" s="76"/>
      <c r="L23" s="8">
        <v>22</v>
      </c>
      <c r="M23" s="5" t="str">
        <f>CONCATENATE($B$15," / ",$E$15)</f>
        <v> / </v>
      </c>
    </row>
    <row r="24" spans="1:13" s="11" customFormat="1" ht="13.5" customHeight="1">
      <c r="A24" s="7">
        <v>23</v>
      </c>
      <c r="B24" s="93"/>
      <c r="C24" s="91"/>
      <c r="D24" s="74"/>
      <c r="E24" s="93"/>
      <c r="F24" s="91"/>
      <c r="G24" s="208"/>
      <c r="H24" s="74"/>
      <c r="I24" s="5" t="str">
        <f>CONCATENATE($B$24," / ",$E$24)</f>
        <v> / </v>
      </c>
      <c r="J24" s="91"/>
      <c r="K24" s="76"/>
      <c r="L24" s="8">
        <v>23</v>
      </c>
      <c r="M24" s="5" t="str">
        <f>CONCATENATE($B$16," / ",$E$16)</f>
        <v> / </v>
      </c>
    </row>
    <row r="25" spans="1:13" s="11" customFormat="1" ht="13.5" customHeight="1">
      <c r="A25" s="7">
        <v>24</v>
      </c>
      <c r="B25" s="93"/>
      <c r="C25" s="91"/>
      <c r="D25" s="74"/>
      <c r="E25" s="93"/>
      <c r="F25" s="91"/>
      <c r="G25" s="208"/>
      <c r="H25" s="74"/>
      <c r="I25" s="5" t="str">
        <f>CONCATENATE($B$25," / ",$E$25)</f>
        <v> / </v>
      </c>
      <c r="J25" s="91"/>
      <c r="K25" s="76"/>
      <c r="L25" s="8">
        <v>24</v>
      </c>
      <c r="M25" s="5" t="str">
        <f>CONCATENATE($B$17," / ",$E$17)</f>
        <v> / </v>
      </c>
    </row>
    <row r="27" spans="1:13" ht="12.75">
      <c r="A27" s="151"/>
      <c r="B27" s="212" t="s">
        <v>25</v>
      </c>
      <c r="C27" s="213"/>
      <c r="D27" s="212" t="s">
        <v>28</v>
      </c>
      <c r="E27" s="213"/>
      <c r="F27" s="212" t="s">
        <v>27</v>
      </c>
      <c r="G27" s="213"/>
      <c r="H27" s="212" t="s">
        <v>26</v>
      </c>
      <c r="I27" s="213"/>
      <c r="J27" s="211"/>
      <c r="K27" s="211"/>
      <c r="L27" s="211"/>
      <c r="M27" s="211"/>
    </row>
    <row r="28" spans="1:13" ht="12.75">
      <c r="A28" s="152">
        <v>1</v>
      </c>
      <c r="B28" s="209" t="str">
        <f>IF(I2=" / ","Team 1, Gruppe A",I2)</f>
        <v>Team 1, Gruppe A</v>
      </c>
      <c r="C28" s="210"/>
      <c r="D28" s="209" t="str">
        <f>IF(I3=" / ","Team 1, Gruppe B",I3)</f>
        <v>Team 1, Gruppe B</v>
      </c>
      <c r="E28" s="210"/>
      <c r="F28" s="209" t="str">
        <f>IF(I4=" / ","Team 1, Gruppe C",I4)</f>
        <v>Team 1, Gruppe C</v>
      </c>
      <c r="G28" s="210"/>
      <c r="H28" s="209" t="str">
        <f>IF(I5=" / ","Team 1, Gruppe D",I5)</f>
        <v>Team 1, Gruppe D</v>
      </c>
      <c r="I28" s="210"/>
      <c r="J28" s="45"/>
      <c r="K28" s="45"/>
      <c r="L28" s="32"/>
      <c r="M28" s="32"/>
    </row>
    <row r="29" spans="1:13" ht="12.75">
      <c r="A29" s="152">
        <v>2</v>
      </c>
      <c r="B29" s="209" t="str">
        <f>IF(I17=" / ","Team 2, Gruppe A",I17)</f>
        <v>Team 2, Gruppe A</v>
      </c>
      <c r="C29" s="210"/>
      <c r="D29" s="209" t="str">
        <f>IF(I16=" / ","Team 2, Gruppe B",I16)</f>
        <v>Team 2, Gruppe B</v>
      </c>
      <c r="E29" s="210"/>
      <c r="F29" s="209" t="str">
        <f>IF(I15=" / ","Team 2, Gruppe C",I15)</f>
        <v>Team 2, Gruppe C</v>
      </c>
      <c r="G29" s="210"/>
      <c r="H29" s="209" t="str">
        <f>IF(I14=" / ","Team 2, Gruppe D",I14)</f>
        <v>Team 2, Gruppe D</v>
      </c>
      <c r="I29" s="210"/>
      <c r="J29" s="45"/>
      <c r="K29" s="45"/>
      <c r="L29" s="32"/>
      <c r="M29" s="32"/>
    </row>
    <row r="30" spans="1:13" ht="12.75">
      <c r="A30" s="152">
        <v>3</v>
      </c>
      <c r="B30" s="209" t="str">
        <f>IF(I18=" / ","Team 3, Gruppe A",I18)</f>
        <v>Team 3, Gruppe A</v>
      </c>
      <c r="C30" s="210"/>
      <c r="D30" s="209" t="str">
        <f>IF(I19=" / ","Team 3, Gruppe B",I19)</f>
        <v>Team 3, Gruppe B</v>
      </c>
      <c r="E30" s="210"/>
      <c r="F30" s="209" t="str">
        <f>IF(I20=" / ","Team 3, Gruppe C",I20)</f>
        <v>Team 3, Gruppe C</v>
      </c>
      <c r="G30" s="210"/>
      <c r="H30" s="209" t="str">
        <f>IF(I21=" / ","Team 3, Gruppe D",I21)</f>
        <v>Team 3, Gruppe D</v>
      </c>
      <c r="I30" s="210"/>
      <c r="J30" s="45"/>
      <c r="K30" s="45"/>
      <c r="L30" s="32"/>
      <c r="M30" s="32"/>
    </row>
    <row r="31" spans="2:13" ht="12.75">
      <c r="B31" s="212" t="s">
        <v>65</v>
      </c>
      <c r="C31" s="213"/>
      <c r="D31" s="212" t="s">
        <v>66</v>
      </c>
      <c r="E31" s="213"/>
      <c r="F31" s="212" t="s">
        <v>76</v>
      </c>
      <c r="G31" s="213"/>
      <c r="H31" s="212" t="s">
        <v>77</v>
      </c>
      <c r="I31" s="213"/>
      <c r="J31" s="216"/>
      <c r="K31" s="216"/>
      <c r="L31" s="216"/>
      <c r="M31" s="216"/>
    </row>
    <row r="32" spans="1:9" ht="12.75">
      <c r="A32" s="152">
        <v>1</v>
      </c>
      <c r="B32" s="209" t="str">
        <f>IF(I6=" / ","Team 1, Gruppe E",I6)</f>
        <v>Team 1, Gruppe E</v>
      </c>
      <c r="C32" s="210"/>
      <c r="D32" s="209" t="str">
        <f>IF(I7=" / ","Team 1, Gruppe F",I7)</f>
        <v>Team 1, Gruppe F</v>
      </c>
      <c r="E32" s="210"/>
      <c r="F32" s="209" t="str">
        <f>IF(I8=" / ","Team 1, Gruppe G",I8)</f>
        <v>Team 1, Gruppe G</v>
      </c>
      <c r="G32" s="210"/>
      <c r="H32" s="209" t="str">
        <f>IF(I9=" / ","Team 1, Gruppe H",I9)</f>
        <v>Team 1, Gruppe H</v>
      </c>
      <c r="I32" s="210"/>
    </row>
    <row r="33" spans="1:12" ht="12.75">
      <c r="A33" s="152">
        <v>2</v>
      </c>
      <c r="B33" s="209" t="str">
        <f>IF(I13=" / ","Team 2, Gruppe E",I13)</f>
        <v>Team 2, Gruppe E</v>
      </c>
      <c r="C33" s="210"/>
      <c r="D33" s="209" t="str">
        <f>IF(I12=" / ","Team 2, Gruppe F",I12)</f>
        <v>Team 2, Gruppe F</v>
      </c>
      <c r="E33" s="210"/>
      <c r="F33" s="209" t="str">
        <f>IF(I11=" / ","Team 2, Gruppe G",I11)</f>
        <v>Team 2, Gruppe G</v>
      </c>
      <c r="G33" s="210"/>
      <c r="H33" s="209" t="str">
        <f>IF(I10=" / ","Team 2, Gruppe H",I10)</f>
        <v>Team 2, Gruppe H</v>
      </c>
      <c r="I33" s="210"/>
      <c r="J33" s="187"/>
      <c r="K33" s="187"/>
      <c r="L33" s="188"/>
    </row>
    <row r="34" spans="1:9" ht="12.75">
      <c r="A34" s="152">
        <v>3</v>
      </c>
      <c r="B34" s="214" t="str">
        <f>IF(I22=" / ","Team 3, Gruppe E",I22)</f>
        <v>Team 3, Gruppe E</v>
      </c>
      <c r="C34" s="215"/>
      <c r="D34" s="214" t="str">
        <f>IF(I23=" / ","Team 3, Gruppe F",I23)</f>
        <v>Team 3, Gruppe F</v>
      </c>
      <c r="E34" s="215"/>
      <c r="F34" s="214" t="str">
        <f>IF(I24=" / ","Team 3, Gruppe G",I24)</f>
        <v>Team 3, Gruppe G</v>
      </c>
      <c r="G34" s="215"/>
      <c r="H34" s="214" t="str">
        <f>IF(I25=" / ","Team 3, Gruppe H",I25)</f>
        <v>Team 3, Gruppe H</v>
      </c>
      <c r="I34" s="215"/>
    </row>
  </sheetData>
  <sheetProtection password="CCA4" sheet="1" formatCells="0" formatColumns="0" formatRows="0" selectLockedCells="1"/>
  <mergeCells count="36">
    <mergeCell ref="L27:M27"/>
    <mergeCell ref="D32:E32"/>
    <mergeCell ref="L31:M31"/>
    <mergeCell ref="J31:K31"/>
    <mergeCell ref="H31:I31"/>
    <mergeCell ref="F31:G31"/>
    <mergeCell ref="H32:I32"/>
    <mergeCell ref="H34:I34"/>
    <mergeCell ref="D27:E27"/>
    <mergeCell ref="D28:E28"/>
    <mergeCell ref="F27:G27"/>
    <mergeCell ref="F28:G28"/>
    <mergeCell ref="D33:E33"/>
    <mergeCell ref="D34:E34"/>
    <mergeCell ref="F32:G32"/>
    <mergeCell ref="H27:I27"/>
    <mergeCell ref="H28:I28"/>
    <mergeCell ref="B34:C34"/>
    <mergeCell ref="D29:E29"/>
    <mergeCell ref="D30:E30"/>
    <mergeCell ref="B31:C31"/>
    <mergeCell ref="D31:E31"/>
    <mergeCell ref="F34:G34"/>
    <mergeCell ref="F29:G29"/>
    <mergeCell ref="F30:G30"/>
    <mergeCell ref="B30:C30"/>
    <mergeCell ref="B29:C29"/>
    <mergeCell ref="F33:G33"/>
    <mergeCell ref="H33:I33"/>
    <mergeCell ref="J27:K27"/>
    <mergeCell ref="B32:C32"/>
    <mergeCell ref="B33:C33"/>
    <mergeCell ref="H29:I29"/>
    <mergeCell ref="H30:I30"/>
    <mergeCell ref="B27:C27"/>
    <mergeCell ref="B28:C28"/>
  </mergeCells>
  <printOptions horizontalCentered="1" verticalCentered="1"/>
  <pageMargins left="0.61" right="0.59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&amp;L&amp;F&amp;CSetzliste 24 Teams
8 Gruppen à 3 Teams&amp;R&amp;D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C16" sqref="C16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2" ht="64.5" customHeight="1" thickBot="1" thickTop="1">
      <c r="A1" s="12" t="s">
        <v>8</v>
      </c>
      <c r="B1" s="17" t="s">
        <v>29</v>
      </c>
      <c r="C1" s="17" t="s">
        <v>10</v>
      </c>
      <c r="D1" s="17" t="s">
        <v>68</v>
      </c>
      <c r="E1" s="13" t="s">
        <v>11</v>
      </c>
      <c r="F1" s="13" t="s">
        <v>12</v>
      </c>
      <c r="G1" s="13" t="s">
        <v>13</v>
      </c>
      <c r="H1" s="144" t="s">
        <v>14</v>
      </c>
      <c r="I1" s="226"/>
      <c r="J1" s="226"/>
      <c r="K1" s="14" t="s">
        <v>15</v>
      </c>
      <c r="L1" s="226" t="s">
        <v>23</v>
      </c>
      <c r="M1" s="226"/>
      <c r="N1" s="226"/>
      <c r="O1" s="226" t="s">
        <v>24</v>
      </c>
      <c r="P1" s="226"/>
      <c r="Q1" s="226"/>
      <c r="R1" s="227" t="s">
        <v>61</v>
      </c>
      <c r="S1" s="227"/>
      <c r="T1" s="228"/>
      <c r="U1" s="221" t="s">
        <v>62</v>
      </c>
      <c r="V1" s="145" t="s">
        <v>63</v>
      </c>
    </row>
    <row r="2" spans="1:22" ht="18" customHeight="1" thickTop="1">
      <c r="A2" s="9">
        <v>1</v>
      </c>
      <c r="B2" s="82" t="s">
        <v>30</v>
      </c>
      <c r="C2" s="83"/>
      <c r="D2" s="80">
        <v>0.375</v>
      </c>
      <c r="E2" s="35" t="str">
        <f>IF(Anmeldung!B29="/",CONCATENATE("Gruppe A Team #",Anmeldung!A29),Anmeldung!B29)</f>
        <v>Team 2, Gruppe A</v>
      </c>
      <c r="F2" s="35" t="s">
        <v>12</v>
      </c>
      <c r="G2" s="35" t="str">
        <f>IF(Anmeldung!B30="/",CONCATENATE("Gruppe A Team #",Anmeldung!A30),Anmeldung!B30)</f>
        <v>Team 3, Gruppe A</v>
      </c>
      <c r="H2" s="146">
        <f>IF(L2=N2,"",SUM(IF(L2&gt;N2,1,0),IF(O2&gt;Q2,1,0),IF(R2&lt;=T2,0,1)))</f>
      </c>
      <c r="I2" s="84" t="s">
        <v>17</v>
      </c>
      <c r="J2" s="136">
        <f>IF(L2=N2,"",SUM(IF(L2&lt;N2,1,0),IF(O2&lt;Q2,1,0),IF(R2&gt;=T2,0,1)))</f>
      </c>
      <c r="K2" s="137">
        <f>SUM(V2-U2)</f>
        <v>0</v>
      </c>
      <c r="L2" s="138"/>
      <c r="M2" s="35" t="s">
        <v>17</v>
      </c>
      <c r="N2" s="150"/>
      <c r="O2" s="222"/>
      <c r="P2" s="35" t="s">
        <v>17</v>
      </c>
      <c r="Q2" s="223"/>
      <c r="R2" s="224"/>
      <c r="S2" s="84" t="s">
        <v>17</v>
      </c>
      <c r="T2" s="225"/>
      <c r="U2" s="148"/>
      <c r="V2" s="149"/>
    </row>
    <row r="3" spans="1:26" s="33" customFormat="1" ht="18" customHeight="1" thickBot="1">
      <c r="A3" s="9">
        <f>SUM(A2,1)</f>
        <v>2</v>
      </c>
      <c r="B3" s="18" t="s">
        <v>31</v>
      </c>
      <c r="C3" s="79"/>
      <c r="D3" s="80"/>
      <c r="E3" s="10" t="str">
        <f>IF(Anmeldung!D29="/",CONCATENATE("Gruppe B Team #",Anmeldung!A29),Anmeldung!D29)</f>
        <v>Team 2, Gruppe B</v>
      </c>
      <c r="F3" s="10" t="s">
        <v>12</v>
      </c>
      <c r="G3" s="10" t="str">
        <f>IF(Anmeldung!D30="/",CONCATENATE("Gruppe B Team #",Anmeldung!A30),Anmeldung!D30)</f>
        <v>Team 3, Gruppe B</v>
      </c>
      <c r="H3" s="146">
        <f>IF(L3=N3,"",SUM(IF(L3&gt;N3,1,0),IF(O3&gt;Q3,1,0),IF(R3&lt;=T3,0,1)))</f>
      </c>
      <c r="I3" s="56" t="s">
        <v>17</v>
      </c>
      <c r="J3" s="124">
        <f>IF(L3=N3,"",SUM(IF(L3&lt;N3,1,0),IF(O3&lt;Q3,1,0),IF(R3&gt;=T3,0,1)))</f>
      </c>
      <c r="K3" s="125">
        <f>SUM(V3-U3)</f>
        <v>0</v>
      </c>
      <c r="L3" s="138"/>
      <c r="M3" s="35" t="s">
        <v>17</v>
      </c>
      <c r="N3" s="150"/>
      <c r="O3" s="57"/>
      <c r="P3" s="10" t="s">
        <v>17</v>
      </c>
      <c r="Q3" s="58"/>
      <c r="R3" s="147"/>
      <c r="S3" s="56" t="s">
        <v>17</v>
      </c>
      <c r="T3" s="220"/>
      <c r="U3" s="148"/>
      <c r="V3" s="149"/>
      <c r="W3" s="34"/>
      <c r="X3" s="34"/>
      <c r="Y3" s="34"/>
      <c r="Z3" s="34"/>
    </row>
    <row r="4" spans="1:26" ht="18" customHeight="1">
      <c r="A4" s="9">
        <f aca="true" t="shared" si="0" ref="A4:A25">SUM(A3,1)</f>
        <v>3</v>
      </c>
      <c r="B4" s="18" t="s">
        <v>32</v>
      </c>
      <c r="C4" s="79"/>
      <c r="D4" s="80"/>
      <c r="E4" s="10" t="str">
        <f>IF(Anmeldung!F29="/",CONCATENATE("Gruppe C Team #",Anmeldung!A29),Anmeldung!F29)</f>
        <v>Team 2, Gruppe C</v>
      </c>
      <c r="F4" s="10" t="s">
        <v>12</v>
      </c>
      <c r="G4" s="10" t="str">
        <f>IF(Anmeldung!F30="/",CONCATENATE("Gruppe C Team #",Anmeldung!A30),Anmeldung!F30)</f>
        <v>Team 3, Gruppe C</v>
      </c>
      <c r="H4" s="146">
        <f aca="true" t="shared" si="1" ref="H4:H26">IF(L4=N4,"",SUM(IF(L4&gt;N4,1,0),IF(O4&gt;Q4,1,0),IF(R4&lt;=T4,0,1)))</f>
      </c>
      <c r="I4" s="56" t="s">
        <v>17</v>
      </c>
      <c r="J4" s="124">
        <f aca="true" t="shared" si="2" ref="J4:J26">IF(L4=N4,"",SUM(IF(L4&lt;N4,1,0),IF(O4&lt;Q4,1,0),IF(R4&gt;=T4,0,1)))</f>
      </c>
      <c r="K4" s="125">
        <f aca="true" t="shared" si="3" ref="K4:K25">SUM(V4-U4)</f>
        <v>0</v>
      </c>
      <c r="L4" s="138"/>
      <c r="M4" s="35" t="s">
        <v>17</v>
      </c>
      <c r="N4" s="150"/>
      <c r="O4" s="57"/>
      <c r="P4" s="10" t="s">
        <v>17</v>
      </c>
      <c r="Q4" s="58"/>
      <c r="R4" s="147"/>
      <c r="S4" s="56" t="s">
        <v>17</v>
      </c>
      <c r="T4" s="220"/>
      <c r="U4" s="148"/>
      <c r="V4" s="149"/>
      <c r="W4" s="34"/>
      <c r="X4" s="34"/>
      <c r="Y4" s="34"/>
      <c r="Z4" s="34"/>
    </row>
    <row r="5" spans="1:26" s="33" customFormat="1" ht="18" customHeight="1" thickBot="1">
      <c r="A5" s="9">
        <f t="shared" si="0"/>
        <v>4</v>
      </c>
      <c r="B5" s="18" t="s">
        <v>33</v>
      </c>
      <c r="C5" s="79"/>
      <c r="D5" s="80">
        <v>0.3888888888888889</v>
      </c>
      <c r="E5" s="10" t="str">
        <f>IF(Anmeldung!H29="/",CONCATENATE("Gruppe D Team #",Anmeldung!A29),Anmeldung!H29)</f>
        <v>Team 2, Gruppe D</v>
      </c>
      <c r="F5" s="10" t="s">
        <v>12</v>
      </c>
      <c r="G5" s="10" t="str">
        <f>IF(Anmeldung!H30="/",CONCATENATE("Gruppe D Team #",Anmeldung!A30),Anmeldung!H30)</f>
        <v>Team 3, Gruppe D</v>
      </c>
      <c r="H5" s="146">
        <f t="shared" si="1"/>
      </c>
      <c r="I5" s="56" t="s">
        <v>17</v>
      </c>
      <c r="J5" s="124">
        <f t="shared" si="2"/>
      </c>
      <c r="K5" s="125">
        <f t="shared" si="3"/>
        <v>0</v>
      </c>
      <c r="L5" s="138"/>
      <c r="M5" s="35" t="s">
        <v>17</v>
      </c>
      <c r="N5" s="150"/>
      <c r="O5" s="57"/>
      <c r="P5" s="10" t="s">
        <v>17</v>
      </c>
      <c r="Q5" s="58"/>
      <c r="R5" s="147"/>
      <c r="S5" s="56" t="s">
        <v>17</v>
      </c>
      <c r="T5" s="220"/>
      <c r="U5" s="148"/>
      <c r="V5" s="149"/>
      <c r="W5" s="34"/>
      <c r="X5" s="34"/>
      <c r="Y5" s="34"/>
      <c r="Z5" s="34"/>
    </row>
    <row r="6" spans="1:26" ht="18" customHeight="1">
      <c r="A6" s="9">
        <f t="shared" si="0"/>
        <v>5</v>
      </c>
      <c r="B6" s="18" t="s">
        <v>67</v>
      </c>
      <c r="C6" s="79"/>
      <c r="D6" s="80"/>
      <c r="E6" s="10" t="str">
        <f>IF(Anmeldung!B33="/",CONCATENATE("Gruppe E Team #",Anmeldung!A33),Anmeldung!B33)</f>
        <v>Team 2, Gruppe E</v>
      </c>
      <c r="F6" s="10" t="s">
        <v>12</v>
      </c>
      <c r="G6" s="10" t="str">
        <f>IF(Anmeldung!B34="/",CONCATENATE("Gruppe E Team #",Anmeldung!A34),Anmeldung!B34)</f>
        <v>Team 3, Gruppe E</v>
      </c>
      <c r="H6" s="146">
        <f t="shared" si="1"/>
      </c>
      <c r="I6" s="56" t="s">
        <v>17</v>
      </c>
      <c r="J6" s="124">
        <f t="shared" si="2"/>
      </c>
      <c r="K6" s="125">
        <f t="shared" si="3"/>
        <v>0</v>
      </c>
      <c r="L6" s="138"/>
      <c r="M6" s="35" t="s">
        <v>17</v>
      </c>
      <c r="N6" s="150"/>
      <c r="O6" s="57"/>
      <c r="P6" s="10" t="s">
        <v>17</v>
      </c>
      <c r="Q6" s="58"/>
      <c r="R6" s="147"/>
      <c r="S6" s="56" t="s">
        <v>17</v>
      </c>
      <c r="T6" s="220"/>
      <c r="U6" s="148"/>
      <c r="V6" s="149"/>
      <c r="W6" s="34"/>
      <c r="X6" s="34"/>
      <c r="Y6" s="34"/>
      <c r="Z6" s="34"/>
    </row>
    <row r="7" spans="1:26" s="33" customFormat="1" ht="18" customHeight="1" thickBot="1">
      <c r="A7" s="9">
        <f t="shared" si="0"/>
        <v>6</v>
      </c>
      <c r="B7" s="18" t="s">
        <v>21</v>
      </c>
      <c r="C7" s="79"/>
      <c r="D7" s="80"/>
      <c r="E7" s="10" t="str">
        <f>IF(Anmeldung!D33="/",CONCATENATE("Gruppe F Team #",Anmeldung!A33),Anmeldung!D33)</f>
        <v>Team 2, Gruppe F</v>
      </c>
      <c r="F7" s="10" t="s">
        <v>12</v>
      </c>
      <c r="G7" s="10" t="str">
        <f>IF(Anmeldung!D34="/",CONCATENATE("Gruppe F Team #",Anmeldung!A34),Anmeldung!D34)</f>
        <v>Team 3, Gruppe F</v>
      </c>
      <c r="H7" s="146">
        <f t="shared" si="1"/>
      </c>
      <c r="I7" s="56" t="s">
        <v>17</v>
      </c>
      <c r="J7" s="124">
        <f t="shared" si="2"/>
      </c>
      <c r="K7" s="125">
        <f t="shared" si="3"/>
        <v>0</v>
      </c>
      <c r="L7" s="138"/>
      <c r="M7" s="35" t="s">
        <v>17</v>
      </c>
      <c r="N7" s="150"/>
      <c r="O7" s="57"/>
      <c r="P7" s="10" t="s">
        <v>17</v>
      </c>
      <c r="Q7" s="58"/>
      <c r="R7" s="147"/>
      <c r="S7" s="56" t="s">
        <v>17</v>
      </c>
      <c r="T7" s="220"/>
      <c r="U7" s="148"/>
      <c r="V7" s="149"/>
      <c r="W7" s="34"/>
      <c r="X7" s="34"/>
      <c r="Y7" s="34"/>
      <c r="Z7" s="34"/>
    </row>
    <row r="8" spans="1:26" s="33" customFormat="1" ht="18" customHeight="1" thickBot="1">
      <c r="A8" s="9">
        <f t="shared" si="0"/>
        <v>7</v>
      </c>
      <c r="B8" s="18" t="s">
        <v>78</v>
      </c>
      <c r="C8" s="79"/>
      <c r="D8" s="80">
        <v>0.402777777777778</v>
      </c>
      <c r="E8" s="10" t="str">
        <f>IF(Anmeldung!F33="/",CONCATENATE("Gruppe G Team #",Anmeldung!A33),Anmeldung!F33)</f>
        <v>Team 2, Gruppe G</v>
      </c>
      <c r="F8" s="10" t="s">
        <v>12</v>
      </c>
      <c r="G8" s="10" t="str">
        <f>IF(Anmeldung!F34="/",CONCATENATE("Gruppe G Team #",Anmeldung!A34),Anmeldung!F34)</f>
        <v>Team 3, Gruppe G</v>
      </c>
      <c r="H8" s="146">
        <f t="shared" si="1"/>
      </c>
      <c r="I8" s="56" t="s">
        <v>17</v>
      </c>
      <c r="J8" s="124">
        <f t="shared" si="2"/>
      </c>
      <c r="K8" s="125">
        <f t="shared" si="3"/>
        <v>0</v>
      </c>
      <c r="L8" s="138"/>
      <c r="M8" s="35" t="s">
        <v>17</v>
      </c>
      <c r="N8" s="150"/>
      <c r="O8" s="57"/>
      <c r="P8" s="10" t="s">
        <v>17</v>
      </c>
      <c r="Q8" s="58"/>
      <c r="R8" s="147"/>
      <c r="S8" s="56" t="s">
        <v>17</v>
      </c>
      <c r="T8" s="220"/>
      <c r="U8" s="148"/>
      <c r="V8" s="149"/>
      <c r="W8" s="34"/>
      <c r="X8" s="34"/>
      <c r="Y8" s="34"/>
      <c r="Z8" s="34"/>
    </row>
    <row r="9" spans="1:26" s="33" customFormat="1" ht="18" customHeight="1" thickBot="1">
      <c r="A9" s="9">
        <f t="shared" si="0"/>
        <v>8</v>
      </c>
      <c r="B9" s="18" t="s">
        <v>79</v>
      </c>
      <c r="C9" s="79"/>
      <c r="D9" s="80"/>
      <c r="E9" s="10" t="str">
        <f>IF(Anmeldung!H33="/",CONCATENATE("Gruppe H Team #",Anmeldung!A33),Anmeldung!H33)</f>
        <v>Team 2, Gruppe H</v>
      </c>
      <c r="F9" s="10" t="s">
        <v>12</v>
      </c>
      <c r="G9" s="10" t="str">
        <f>IF(Anmeldung!H34="/",CONCATENATE("Gruppe H Team #",Anmeldung!A34),Anmeldung!H34)</f>
        <v>Team 3, Gruppe H</v>
      </c>
      <c r="H9" s="146">
        <f t="shared" si="1"/>
      </c>
      <c r="I9" s="56" t="s">
        <v>17</v>
      </c>
      <c r="J9" s="124">
        <f t="shared" si="2"/>
      </c>
      <c r="K9" s="125">
        <f t="shared" si="3"/>
        <v>0</v>
      </c>
      <c r="L9" s="138"/>
      <c r="M9" s="35" t="s">
        <v>17</v>
      </c>
      <c r="N9" s="150"/>
      <c r="O9" s="57"/>
      <c r="P9" s="10" t="s">
        <v>17</v>
      </c>
      <c r="Q9" s="58"/>
      <c r="R9" s="147"/>
      <c r="S9" s="56" t="s">
        <v>17</v>
      </c>
      <c r="T9" s="220"/>
      <c r="U9" s="148"/>
      <c r="V9" s="149"/>
      <c r="W9" s="34"/>
      <c r="X9" s="34"/>
      <c r="Y9" s="34"/>
      <c r="Z9" s="34"/>
    </row>
    <row r="10" spans="1:22" ht="18" customHeight="1">
      <c r="A10" s="9">
        <f t="shared" si="0"/>
        <v>9</v>
      </c>
      <c r="B10" s="82" t="s">
        <v>30</v>
      </c>
      <c r="C10" s="79"/>
      <c r="D10" s="80"/>
      <c r="E10" s="10" t="str">
        <f>IF(Anmeldung!B28=" / ",CONCATENATE("Gruppe A Team #",Anmeldung!A28),Anmeldung!B28)</f>
        <v>Team 1, Gruppe A</v>
      </c>
      <c r="F10" s="10" t="s">
        <v>12</v>
      </c>
      <c r="G10" s="10" t="str">
        <f>IF(Anmeldung!B30="/",CONCATENATE("Gruppe A Team #",Anmeldung!A30),Anmeldung!B30)</f>
        <v>Team 3, Gruppe A</v>
      </c>
      <c r="H10" s="146">
        <f t="shared" si="1"/>
      </c>
      <c r="I10" s="56" t="s">
        <v>17</v>
      </c>
      <c r="J10" s="124">
        <f t="shared" si="2"/>
      </c>
      <c r="K10" s="125">
        <f t="shared" si="3"/>
        <v>0</v>
      </c>
      <c r="L10" s="138"/>
      <c r="M10" s="35" t="s">
        <v>17</v>
      </c>
      <c r="N10" s="150"/>
      <c r="O10" s="57"/>
      <c r="P10" s="10" t="s">
        <v>17</v>
      </c>
      <c r="Q10" s="58"/>
      <c r="R10" s="147"/>
      <c r="S10" s="56" t="s">
        <v>17</v>
      </c>
      <c r="T10" s="220"/>
      <c r="U10" s="148"/>
      <c r="V10" s="149"/>
    </row>
    <row r="11" spans="1:22" ht="18" customHeight="1">
      <c r="A11" s="9">
        <f t="shared" si="0"/>
        <v>10</v>
      </c>
      <c r="B11" s="18" t="s">
        <v>31</v>
      </c>
      <c r="C11" s="79"/>
      <c r="D11" s="80">
        <v>0.416666666666667</v>
      </c>
      <c r="E11" s="10" t="str">
        <f>IF(Anmeldung!D28=" / ",CONCATENATE("Gruppe B Team #",Anmeldung!A28),Anmeldung!D28)</f>
        <v>Team 1, Gruppe B</v>
      </c>
      <c r="F11" s="10" t="s">
        <v>12</v>
      </c>
      <c r="G11" s="10" t="str">
        <f>IF(Anmeldung!D30="/",CONCATENATE("Gruppe B Team #",Anmeldung!A30),Anmeldung!D30)</f>
        <v>Team 3, Gruppe B</v>
      </c>
      <c r="H11" s="146">
        <f t="shared" si="1"/>
      </c>
      <c r="I11" s="56" t="s">
        <v>17</v>
      </c>
      <c r="J11" s="124">
        <f t="shared" si="2"/>
      </c>
      <c r="K11" s="125">
        <f t="shared" si="3"/>
        <v>0</v>
      </c>
      <c r="L11" s="138"/>
      <c r="M11" s="35" t="s">
        <v>17</v>
      </c>
      <c r="N11" s="150"/>
      <c r="O11" s="57"/>
      <c r="P11" s="10" t="s">
        <v>17</v>
      </c>
      <c r="Q11" s="58"/>
      <c r="R11" s="147"/>
      <c r="S11" s="56" t="s">
        <v>17</v>
      </c>
      <c r="T11" s="220"/>
      <c r="U11" s="148"/>
      <c r="V11" s="149"/>
    </row>
    <row r="12" spans="1:22" ht="18" customHeight="1">
      <c r="A12" s="9">
        <f t="shared" si="0"/>
        <v>11</v>
      </c>
      <c r="B12" s="18" t="s">
        <v>32</v>
      </c>
      <c r="C12" s="79"/>
      <c r="D12" s="80"/>
      <c r="E12" s="10" t="str">
        <f>IF(Anmeldung!F28=" / ",CONCATENATE("Gruppe C Team #",Anmeldung!A28),Anmeldung!F28)</f>
        <v>Team 1, Gruppe C</v>
      </c>
      <c r="F12" s="10" t="s">
        <v>12</v>
      </c>
      <c r="G12" s="10" t="str">
        <f>IF(Anmeldung!F30="/",CONCATENATE("Gruppe C Team #",Anmeldung!A30),Anmeldung!F30)</f>
        <v>Team 3, Gruppe C</v>
      </c>
      <c r="H12" s="146">
        <f t="shared" si="1"/>
      </c>
      <c r="I12" s="56" t="s">
        <v>17</v>
      </c>
      <c r="J12" s="124">
        <f t="shared" si="2"/>
      </c>
      <c r="K12" s="125">
        <f t="shared" si="3"/>
        <v>0</v>
      </c>
      <c r="L12" s="138"/>
      <c r="M12" s="35" t="s">
        <v>17</v>
      </c>
      <c r="N12" s="150"/>
      <c r="O12" s="57"/>
      <c r="P12" s="10" t="s">
        <v>17</v>
      </c>
      <c r="Q12" s="58"/>
      <c r="R12" s="147"/>
      <c r="S12" s="56" t="s">
        <v>17</v>
      </c>
      <c r="T12" s="220"/>
      <c r="U12" s="148"/>
      <c r="V12" s="149"/>
    </row>
    <row r="13" spans="1:22" ht="18" customHeight="1">
      <c r="A13" s="9">
        <f t="shared" si="0"/>
        <v>12</v>
      </c>
      <c r="B13" s="18" t="s">
        <v>33</v>
      </c>
      <c r="C13" s="79"/>
      <c r="D13" s="80"/>
      <c r="E13" s="10" t="str">
        <f>IF(Anmeldung!H28=" / ",CONCATENATE("Gruppe D Team #",Anmeldung!A28),Anmeldung!H28)</f>
        <v>Team 1, Gruppe D</v>
      </c>
      <c r="F13" s="10" t="s">
        <v>12</v>
      </c>
      <c r="G13" s="10" t="str">
        <f>IF(Anmeldung!H30="/",CONCATENATE("Gruppe D Team #",Anmeldung!A30),Anmeldung!H30)</f>
        <v>Team 3, Gruppe D</v>
      </c>
      <c r="H13" s="146">
        <f t="shared" si="1"/>
      </c>
      <c r="I13" s="56" t="s">
        <v>17</v>
      </c>
      <c r="J13" s="124">
        <f t="shared" si="2"/>
      </c>
      <c r="K13" s="125">
        <f t="shared" si="3"/>
        <v>0</v>
      </c>
      <c r="L13" s="138"/>
      <c r="M13" s="35" t="s">
        <v>17</v>
      </c>
      <c r="N13" s="150"/>
      <c r="O13" s="57"/>
      <c r="P13" s="10" t="s">
        <v>17</v>
      </c>
      <c r="Q13" s="58"/>
      <c r="R13" s="147"/>
      <c r="S13" s="56" t="s">
        <v>17</v>
      </c>
      <c r="T13" s="220"/>
      <c r="U13" s="148"/>
      <c r="V13" s="149"/>
    </row>
    <row r="14" spans="1:22" ht="18" customHeight="1">
      <c r="A14" s="9">
        <f t="shared" si="0"/>
        <v>13</v>
      </c>
      <c r="B14" s="18" t="s">
        <v>67</v>
      </c>
      <c r="C14" s="79"/>
      <c r="D14" s="80">
        <v>0.430555555555556</v>
      </c>
      <c r="E14" s="10" t="str">
        <f>IF(Anmeldung!B32=" / ",CONCATENATE("Gruppe E Team #",Anmeldung!A32),Anmeldung!B32)</f>
        <v>Team 1, Gruppe E</v>
      </c>
      <c r="F14" s="10" t="s">
        <v>12</v>
      </c>
      <c r="G14" s="10" t="str">
        <f>IF(Anmeldung!B34="/",CONCATENATE("Gruppe E Team #",Anmeldung!A34),Anmeldung!B34)</f>
        <v>Team 3, Gruppe E</v>
      </c>
      <c r="H14" s="146">
        <f t="shared" si="1"/>
      </c>
      <c r="I14" s="56" t="s">
        <v>17</v>
      </c>
      <c r="J14" s="124">
        <f t="shared" si="2"/>
      </c>
      <c r="K14" s="125">
        <f t="shared" si="3"/>
        <v>0</v>
      </c>
      <c r="L14" s="138"/>
      <c r="M14" s="35" t="s">
        <v>17</v>
      </c>
      <c r="N14" s="150"/>
      <c r="O14" s="57"/>
      <c r="P14" s="10" t="s">
        <v>17</v>
      </c>
      <c r="Q14" s="58"/>
      <c r="R14" s="147"/>
      <c r="S14" s="56" t="s">
        <v>17</v>
      </c>
      <c r="T14" s="220"/>
      <c r="U14" s="148"/>
      <c r="V14" s="149"/>
    </row>
    <row r="15" spans="1:22" ht="18" customHeight="1">
      <c r="A15" s="9">
        <f t="shared" si="0"/>
        <v>14</v>
      </c>
      <c r="B15" s="18" t="s">
        <v>21</v>
      </c>
      <c r="C15" s="79"/>
      <c r="D15" s="80"/>
      <c r="E15" s="10" t="str">
        <f>IF(Anmeldung!D32=" / ",CONCATENATE("Gruppe F Team #",Anmeldung!A32),Anmeldung!D32)</f>
        <v>Team 1, Gruppe F</v>
      </c>
      <c r="F15" s="10" t="s">
        <v>12</v>
      </c>
      <c r="G15" s="10" t="str">
        <f>IF(Anmeldung!D34="/",CONCATENATE("Gruppe F Team #",Anmeldung!A34),Anmeldung!D34)</f>
        <v>Team 3, Gruppe F</v>
      </c>
      <c r="H15" s="146">
        <f t="shared" si="1"/>
      </c>
      <c r="I15" s="56" t="s">
        <v>17</v>
      </c>
      <c r="J15" s="124">
        <f t="shared" si="2"/>
      </c>
      <c r="K15" s="125">
        <f t="shared" si="3"/>
        <v>0</v>
      </c>
      <c r="L15" s="138"/>
      <c r="M15" s="35" t="s">
        <v>17</v>
      </c>
      <c r="N15" s="150"/>
      <c r="O15" s="57"/>
      <c r="P15" s="10" t="s">
        <v>17</v>
      </c>
      <c r="Q15" s="58"/>
      <c r="R15" s="147"/>
      <c r="S15" s="56" t="s">
        <v>17</v>
      </c>
      <c r="T15" s="220"/>
      <c r="U15" s="148"/>
      <c r="V15" s="149"/>
    </row>
    <row r="16" spans="1:22" ht="18" customHeight="1">
      <c r="A16" s="9">
        <f t="shared" si="0"/>
        <v>15</v>
      </c>
      <c r="B16" s="18" t="s">
        <v>78</v>
      </c>
      <c r="C16" s="79"/>
      <c r="D16" s="80"/>
      <c r="E16" s="10" t="str">
        <f>IF(Anmeldung!F32=" / ",CONCATENATE("Gruppe G Team #",Anmeldung!A32),Anmeldung!F32)</f>
        <v>Team 1, Gruppe G</v>
      </c>
      <c r="F16" s="10"/>
      <c r="G16" s="10" t="str">
        <f>IF(Anmeldung!F34="/",CONCATENATE("Gruppe G Team #",Anmeldung!A34),Anmeldung!F34)</f>
        <v>Team 3, Gruppe G</v>
      </c>
      <c r="H16" s="146">
        <f t="shared" si="1"/>
      </c>
      <c r="I16" s="56" t="s">
        <v>17</v>
      </c>
      <c r="J16" s="124">
        <f t="shared" si="2"/>
      </c>
      <c r="K16" s="125">
        <f t="shared" si="3"/>
        <v>0</v>
      </c>
      <c r="L16" s="138"/>
      <c r="M16" s="35" t="s">
        <v>17</v>
      </c>
      <c r="N16" s="150"/>
      <c r="O16" s="57"/>
      <c r="P16" s="10" t="s">
        <v>17</v>
      </c>
      <c r="Q16" s="58"/>
      <c r="R16" s="147"/>
      <c r="S16" s="56" t="s">
        <v>17</v>
      </c>
      <c r="T16" s="220"/>
      <c r="U16" s="148"/>
      <c r="V16" s="149"/>
    </row>
    <row r="17" spans="1:22" ht="18" customHeight="1">
      <c r="A17" s="9">
        <f t="shared" si="0"/>
        <v>16</v>
      </c>
      <c r="B17" s="18" t="s">
        <v>79</v>
      </c>
      <c r="C17" s="79"/>
      <c r="D17" s="80">
        <v>0.444444444444445</v>
      </c>
      <c r="E17" s="10" t="str">
        <f>IF(Anmeldung!H32=" / ",CONCATENATE("Gruppe H Team #",Anmeldung!A32),Anmeldung!H32)</f>
        <v>Team 1, Gruppe H</v>
      </c>
      <c r="F17" s="10"/>
      <c r="G17" s="10" t="str">
        <f>IF(Anmeldung!H34="/",CONCATENATE("Gruppe H Team #",Anmeldung!A34),Anmeldung!H34)</f>
        <v>Team 3, Gruppe H</v>
      </c>
      <c r="H17" s="146">
        <f t="shared" si="1"/>
      </c>
      <c r="I17" s="56" t="s">
        <v>17</v>
      </c>
      <c r="J17" s="124">
        <f t="shared" si="2"/>
      </c>
      <c r="K17" s="125">
        <f t="shared" si="3"/>
        <v>0</v>
      </c>
      <c r="L17" s="138"/>
      <c r="M17" s="35" t="s">
        <v>17</v>
      </c>
      <c r="N17" s="150"/>
      <c r="O17" s="57"/>
      <c r="P17" s="10" t="s">
        <v>17</v>
      </c>
      <c r="Q17" s="58"/>
      <c r="R17" s="147"/>
      <c r="S17" s="56" t="s">
        <v>17</v>
      </c>
      <c r="T17" s="220"/>
      <c r="U17" s="148"/>
      <c r="V17" s="149"/>
    </row>
    <row r="18" spans="1:22" ht="18" customHeight="1">
      <c r="A18" s="9">
        <f t="shared" si="0"/>
        <v>17</v>
      </c>
      <c r="B18" s="82" t="s">
        <v>30</v>
      </c>
      <c r="C18" s="83"/>
      <c r="D18" s="80"/>
      <c r="E18" s="35" t="str">
        <f>IF(Anmeldung!B28=" / ",CONCATENATE("Gruppe A Team #",Anmeldung!A28),Anmeldung!B28)</f>
        <v>Team 1, Gruppe A</v>
      </c>
      <c r="F18" s="35" t="s">
        <v>12</v>
      </c>
      <c r="G18" s="35" t="str">
        <f>IF(Anmeldung!B29="/",CONCATENATE("Gruppe A Team #",Anmeldung!A29),Anmeldung!B29)</f>
        <v>Team 2, Gruppe A</v>
      </c>
      <c r="H18" s="146">
        <f t="shared" si="1"/>
      </c>
      <c r="I18" s="56" t="s">
        <v>17</v>
      </c>
      <c r="J18" s="124">
        <f t="shared" si="2"/>
      </c>
      <c r="K18" s="125">
        <f t="shared" si="3"/>
        <v>0</v>
      </c>
      <c r="L18" s="138"/>
      <c r="M18" s="35" t="s">
        <v>17</v>
      </c>
      <c r="N18" s="150"/>
      <c r="O18" s="57"/>
      <c r="P18" s="10" t="s">
        <v>17</v>
      </c>
      <c r="Q18" s="58"/>
      <c r="R18" s="147"/>
      <c r="S18" s="56" t="s">
        <v>17</v>
      </c>
      <c r="T18" s="220"/>
      <c r="U18" s="148"/>
      <c r="V18" s="149"/>
    </row>
    <row r="19" spans="1:22" ht="18" customHeight="1">
      <c r="A19" s="9">
        <f t="shared" si="0"/>
        <v>18</v>
      </c>
      <c r="B19" s="18" t="s">
        <v>31</v>
      </c>
      <c r="C19" s="79"/>
      <c r="D19" s="80"/>
      <c r="E19" s="10" t="str">
        <f>IF(Anmeldung!D28=" / ",CONCATENATE("Gruppe B Team #",Anmeldung!A28),Anmeldung!D28)</f>
        <v>Team 1, Gruppe B</v>
      </c>
      <c r="F19" s="10" t="s">
        <v>12</v>
      </c>
      <c r="G19" s="10" t="str">
        <f>IF(Anmeldung!D29="/",CONCATENATE("Gruppe B Team #",Anmeldung!A29),Anmeldung!D29)</f>
        <v>Team 2, Gruppe B</v>
      </c>
      <c r="H19" s="146">
        <f t="shared" si="1"/>
      </c>
      <c r="I19" s="56" t="s">
        <v>17</v>
      </c>
      <c r="J19" s="124">
        <f t="shared" si="2"/>
      </c>
      <c r="K19" s="125">
        <f t="shared" si="3"/>
        <v>0</v>
      </c>
      <c r="L19" s="138"/>
      <c r="M19" s="35" t="s">
        <v>17</v>
      </c>
      <c r="N19" s="150"/>
      <c r="O19" s="57"/>
      <c r="P19" s="10" t="s">
        <v>17</v>
      </c>
      <c r="Q19" s="58"/>
      <c r="R19" s="147"/>
      <c r="S19" s="56" t="s">
        <v>17</v>
      </c>
      <c r="T19" s="220"/>
      <c r="U19" s="148"/>
      <c r="V19" s="149"/>
    </row>
    <row r="20" spans="1:22" ht="18" customHeight="1">
      <c r="A20" s="9">
        <f t="shared" si="0"/>
        <v>19</v>
      </c>
      <c r="B20" s="18" t="s">
        <v>32</v>
      </c>
      <c r="C20" s="79"/>
      <c r="D20" s="80">
        <v>0.458333333333333</v>
      </c>
      <c r="E20" s="10" t="str">
        <f>IF(Anmeldung!F28=" / ",CONCATENATE("Gruppe C Team #",Anmeldung!A28),Anmeldung!F28)</f>
        <v>Team 1, Gruppe C</v>
      </c>
      <c r="F20" s="10" t="s">
        <v>12</v>
      </c>
      <c r="G20" s="10" t="str">
        <f>IF(Anmeldung!F29="/",CONCATENATE("Gruppe C Team #",Anmeldung!A29),Anmeldung!F29)</f>
        <v>Team 2, Gruppe C</v>
      </c>
      <c r="H20" s="146">
        <f t="shared" si="1"/>
      </c>
      <c r="I20" s="56" t="s">
        <v>17</v>
      </c>
      <c r="J20" s="124">
        <f t="shared" si="2"/>
      </c>
      <c r="K20" s="125">
        <f t="shared" si="3"/>
        <v>0</v>
      </c>
      <c r="L20" s="138"/>
      <c r="M20" s="35" t="s">
        <v>17</v>
      </c>
      <c r="N20" s="150"/>
      <c r="O20" s="57"/>
      <c r="P20" s="10" t="s">
        <v>17</v>
      </c>
      <c r="Q20" s="58"/>
      <c r="R20" s="147"/>
      <c r="S20" s="56" t="s">
        <v>17</v>
      </c>
      <c r="T20" s="220"/>
      <c r="U20" s="148"/>
      <c r="V20" s="149"/>
    </row>
    <row r="21" spans="1:22" ht="18" customHeight="1">
      <c r="A21" s="9">
        <f t="shared" si="0"/>
        <v>20</v>
      </c>
      <c r="B21" s="18" t="s">
        <v>33</v>
      </c>
      <c r="C21" s="79"/>
      <c r="D21" s="80"/>
      <c r="E21" s="10" t="str">
        <f>IF(Anmeldung!H28=" / ",CONCATENATE("Gruppe D Team #",Anmeldung!A28),Anmeldung!H28)</f>
        <v>Team 1, Gruppe D</v>
      </c>
      <c r="F21" s="10" t="s">
        <v>12</v>
      </c>
      <c r="G21" s="10" t="str">
        <f>IF(Anmeldung!H29="/",CONCATENATE("Gruppe D Team #",Anmeldung!A29),Anmeldung!H29)</f>
        <v>Team 2, Gruppe D</v>
      </c>
      <c r="H21" s="146">
        <f t="shared" si="1"/>
      </c>
      <c r="I21" s="56" t="s">
        <v>17</v>
      </c>
      <c r="J21" s="124">
        <f t="shared" si="2"/>
      </c>
      <c r="K21" s="125">
        <f t="shared" si="3"/>
        <v>0</v>
      </c>
      <c r="L21" s="138"/>
      <c r="M21" s="35" t="s">
        <v>17</v>
      </c>
      <c r="N21" s="150"/>
      <c r="O21" s="57"/>
      <c r="P21" s="10" t="s">
        <v>17</v>
      </c>
      <c r="Q21" s="58"/>
      <c r="R21" s="147"/>
      <c r="S21" s="56" t="s">
        <v>17</v>
      </c>
      <c r="T21" s="220"/>
      <c r="U21" s="148"/>
      <c r="V21" s="149"/>
    </row>
    <row r="22" spans="1:22" ht="18" customHeight="1">
      <c r="A22" s="9">
        <f t="shared" si="0"/>
        <v>21</v>
      </c>
      <c r="B22" s="18" t="s">
        <v>67</v>
      </c>
      <c r="C22" s="79"/>
      <c r="D22" s="80"/>
      <c r="E22" s="10" t="str">
        <f>IF(Anmeldung!B32=" / ",CONCATENATE("Gruppe E Team #",Anmeldung!A32),Anmeldung!B32)</f>
        <v>Team 1, Gruppe E</v>
      </c>
      <c r="F22" s="10" t="s">
        <v>12</v>
      </c>
      <c r="G22" s="10" t="str">
        <f>IF(Anmeldung!B33="/",CONCATENATE("Gruppe E Team #",Anmeldung!A33),Anmeldung!B33)</f>
        <v>Team 2, Gruppe E</v>
      </c>
      <c r="H22" s="146">
        <f t="shared" si="1"/>
      </c>
      <c r="I22" s="56" t="s">
        <v>17</v>
      </c>
      <c r="J22" s="124">
        <f t="shared" si="2"/>
      </c>
      <c r="K22" s="125">
        <f t="shared" si="3"/>
        <v>0</v>
      </c>
      <c r="L22" s="138"/>
      <c r="M22" s="35" t="s">
        <v>17</v>
      </c>
      <c r="N22" s="150"/>
      <c r="O22" s="57"/>
      <c r="P22" s="10" t="s">
        <v>17</v>
      </c>
      <c r="Q22" s="58"/>
      <c r="R22" s="147"/>
      <c r="S22" s="56" t="s">
        <v>17</v>
      </c>
      <c r="T22" s="220"/>
      <c r="U22" s="148"/>
      <c r="V22" s="149"/>
    </row>
    <row r="23" spans="1:22" ht="18" customHeight="1">
      <c r="A23" s="9">
        <f t="shared" si="0"/>
        <v>22</v>
      </c>
      <c r="B23" s="18" t="s">
        <v>21</v>
      </c>
      <c r="C23" s="79"/>
      <c r="D23" s="80">
        <v>0.472222222222222</v>
      </c>
      <c r="E23" s="10" t="str">
        <f>IF(Anmeldung!D32=" / ",CONCATENATE("Gruppe F Team #",Anmeldung!A32),Anmeldung!D32)</f>
        <v>Team 1, Gruppe F</v>
      </c>
      <c r="F23" s="10" t="s">
        <v>12</v>
      </c>
      <c r="G23" s="10" t="str">
        <f>IF(Anmeldung!D33="/",CONCATENATE("Gruppe F Team #",Anmeldung!A33),Anmeldung!D33)</f>
        <v>Team 2, Gruppe F</v>
      </c>
      <c r="H23" s="146">
        <f t="shared" si="1"/>
      </c>
      <c r="I23" s="56" t="s">
        <v>17</v>
      </c>
      <c r="J23" s="124">
        <f t="shared" si="2"/>
      </c>
      <c r="K23" s="125">
        <f t="shared" si="3"/>
        <v>0</v>
      </c>
      <c r="L23" s="138"/>
      <c r="M23" s="35" t="s">
        <v>17</v>
      </c>
      <c r="N23" s="150"/>
      <c r="O23" s="57"/>
      <c r="P23" s="10" t="s">
        <v>17</v>
      </c>
      <c r="Q23" s="58"/>
      <c r="R23" s="147"/>
      <c r="S23" s="56" t="s">
        <v>17</v>
      </c>
      <c r="T23" s="220"/>
      <c r="U23" s="148"/>
      <c r="V23" s="149"/>
    </row>
    <row r="24" spans="1:22" ht="18" customHeight="1">
      <c r="A24" s="9">
        <f t="shared" si="0"/>
        <v>23</v>
      </c>
      <c r="B24" s="18" t="s">
        <v>78</v>
      </c>
      <c r="C24" s="79"/>
      <c r="D24" s="80"/>
      <c r="E24" s="10" t="str">
        <f>IF(Anmeldung!F32=" / ",CONCATENATE("Gruppe G Team #",Anmeldung!A32),Anmeldung!F32)</f>
        <v>Team 1, Gruppe G</v>
      </c>
      <c r="F24" s="10"/>
      <c r="G24" s="10" t="str">
        <f>IF(Anmeldung!F33="/",CONCATENATE("Gruppe G Team #",Anmeldung!A33),Anmeldung!F33)</f>
        <v>Team 2, Gruppe G</v>
      </c>
      <c r="H24" s="146">
        <f t="shared" si="1"/>
      </c>
      <c r="I24" s="56" t="s">
        <v>17</v>
      </c>
      <c r="J24" s="124">
        <f t="shared" si="2"/>
      </c>
      <c r="K24" s="125">
        <f t="shared" si="3"/>
        <v>0</v>
      </c>
      <c r="L24" s="138"/>
      <c r="M24" s="35" t="s">
        <v>17</v>
      </c>
      <c r="N24" s="150"/>
      <c r="O24" s="57"/>
      <c r="P24" s="10" t="s">
        <v>17</v>
      </c>
      <c r="Q24" s="58"/>
      <c r="R24" s="147"/>
      <c r="S24" s="56" t="s">
        <v>17</v>
      </c>
      <c r="T24" s="220"/>
      <c r="U24" s="148"/>
      <c r="V24" s="149"/>
    </row>
    <row r="25" spans="1:22" ht="18" customHeight="1">
      <c r="A25" s="9">
        <f t="shared" si="0"/>
        <v>24</v>
      </c>
      <c r="B25" s="18" t="s">
        <v>79</v>
      </c>
      <c r="C25" s="79"/>
      <c r="D25" s="80"/>
      <c r="E25" s="10" t="str">
        <f>IF(Anmeldung!H32=" / ",CONCATENATE("Gruppe H Team #",Anmeldung!A32),Anmeldung!H32)</f>
        <v>Team 1, Gruppe H</v>
      </c>
      <c r="F25" s="10"/>
      <c r="G25" s="10" t="str">
        <f>IF(Anmeldung!H33="/",CONCATENATE("Gruppe H Team #",Anmeldung!A33),Anmeldung!H33)</f>
        <v>Team 2, Gruppe H</v>
      </c>
      <c r="H25" s="146">
        <f t="shared" si="1"/>
      </c>
      <c r="I25" s="56" t="s">
        <v>17</v>
      </c>
      <c r="J25" s="124">
        <f t="shared" si="2"/>
      </c>
      <c r="K25" s="125">
        <f t="shared" si="3"/>
        <v>0</v>
      </c>
      <c r="L25" s="138"/>
      <c r="M25" s="35" t="s">
        <v>17</v>
      </c>
      <c r="N25" s="150"/>
      <c r="O25" s="57"/>
      <c r="P25" s="10" t="s">
        <v>17</v>
      </c>
      <c r="Q25" s="58"/>
      <c r="R25" s="147"/>
      <c r="S25" s="56" t="s">
        <v>17</v>
      </c>
      <c r="T25" s="220"/>
      <c r="U25" s="148"/>
      <c r="V25" s="149"/>
    </row>
    <row r="26" spans="8:10" ht="15">
      <c r="H26" s="3">
        <f t="shared" si="1"/>
      </c>
      <c r="J26" s="3">
        <f t="shared" si="2"/>
      </c>
    </row>
  </sheetData>
  <sheetProtection password="CCA4" sheet="1" formatCells="0" formatColumns="0" formatRows="0" selectLockedCells="1"/>
  <printOptions horizontalCentered="1"/>
  <pageMargins left="0.1968503937007874" right="0.1968503937007874" top="1.09" bottom="0.4330708661417323" header="0.5118110236220472" footer="0.4330708661417323"/>
  <pageSetup horizontalDpi="600" verticalDpi="600" orientation="portrait" paperSize="9" scale="75" r:id="rId1"/>
  <headerFooter alignWithMargins="0">
    <oddHeader>&amp;C&amp;12Spielplan - Resultate Gruppenspiele Vorrunde 24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16.8515625" style="44" customWidth="1"/>
    <col min="2" max="2" width="2.7109375" style="45" customWidth="1"/>
    <col min="3" max="3" width="1.57421875" style="45" bestFit="1" customWidth="1"/>
    <col min="4" max="4" width="2.7109375" style="45" customWidth="1"/>
    <col min="5" max="5" width="4.28125" style="45" customWidth="1"/>
    <col min="6" max="6" width="2.7109375" style="45" customWidth="1"/>
    <col min="7" max="7" width="1.57421875" style="45" bestFit="1" customWidth="1"/>
    <col min="8" max="8" width="2.7109375" style="45" customWidth="1"/>
    <col min="9" max="9" width="9.57421875" style="45" customWidth="1"/>
    <col min="10" max="10" width="5.28125" style="45" bestFit="1" customWidth="1"/>
    <col min="11" max="11" width="8.7109375" style="77" hidden="1" customWidth="1"/>
    <col min="12" max="12" width="5.8515625" style="44" customWidth="1"/>
    <col min="13" max="13" width="3.00390625" style="2" customWidth="1"/>
    <col min="14" max="14" width="23.00390625" style="0" customWidth="1"/>
    <col min="15" max="15" width="3.7109375" style="0" hidden="1" customWidth="1"/>
    <col min="16" max="16384" width="11.421875" style="44" customWidth="1"/>
  </cols>
  <sheetData>
    <row r="1" spans="1:14" ht="24" thickBot="1" thickTop="1">
      <c r="A1" s="41" t="s">
        <v>25</v>
      </c>
      <c r="B1" s="218" t="s">
        <v>34</v>
      </c>
      <c r="C1" s="217"/>
      <c r="D1" s="219"/>
      <c r="E1" s="66" t="s">
        <v>36</v>
      </c>
      <c r="F1" s="217" t="s">
        <v>37</v>
      </c>
      <c r="G1" s="217"/>
      <c r="H1" s="217"/>
      <c r="I1" s="55" t="s">
        <v>38</v>
      </c>
      <c r="J1" s="59" t="s">
        <v>39</v>
      </c>
      <c r="K1" s="85" t="s">
        <v>22</v>
      </c>
      <c r="L1" s="54"/>
      <c r="M1" s="17" t="s">
        <v>0</v>
      </c>
      <c r="N1" s="15" t="s">
        <v>5</v>
      </c>
    </row>
    <row r="2" spans="1:15" ht="13.5" thickTop="1">
      <c r="A2" s="40" t="str">
        <f>Anmeldung!B28</f>
        <v>Team 1, Gruppe A</v>
      </c>
      <c r="B2" s="38">
        <f>SUM(Vorrunde!H18,Vorrunde!H10)</f>
        <v>0</v>
      </c>
      <c r="C2" s="45" t="s">
        <v>35</v>
      </c>
      <c r="D2" s="50">
        <f>SUM(Vorrunde!J18,Vorrunde!J10)</f>
        <v>0</v>
      </c>
      <c r="E2" s="67">
        <f>SUM(B2-D2)</f>
        <v>0</v>
      </c>
      <c r="F2" s="45">
        <f>SUM(Vorrunde!L18,Vorrunde!O18,Vorrunde!L10,Vorrunde!O10)</f>
        <v>0</v>
      </c>
      <c r="G2" s="45" t="s">
        <v>35</v>
      </c>
      <c r="H2" s="45">
        <f>SUM(Vorrunde!N18,Vorrunde!Q18,Vorrunde!N10,Vorrunde!Q10)</f>
        <v>0</v>
      </c>
      <c r="I2" s="63" t="str">
        <f>IF((H2=0),"Quotient",F2/H2)</f>
        <v>Quotient</v>
      </c>
      <c r="J2" s="229">
        <f>RANK(B2,$B$2:$B$4)</f>
        <v>1</v>
      </c>
      <c r="K2" s="189" t="str">
        <f>A2</f>
        <v>Team 1, Gruppe A</v>
      </c>
      <c r="L2" s="54"/>
      <c r="M2" s="52">
        <v>1</v>
      </c>
      <c r="N2" s="4" t="str">
        <f>IF(B2+B3+B4=0,"Team 1, Gruppe A",VLOOKUP(1,J2:K4,2,FALSE))</f>
        <v>Team 1, Gruppe A</v>
      </c>
      <c r="O2" s="11" t="s">
        <v>40</v>
      </c>
    </row>
    <row r="3" spans="1:15" ht="12.75">
      <c r="A3" s="40" t="str">
        <f>Anmeldung!B29</f>
        <v>Team 2, Gruppe A</v>
      </c>
      <c r="B3" s="38">
        <f>SUM(Vorrunde!J18,Vorrunde!H2)</f>
        <v>0</v>
      </c>
      <c r="C3" s="45" t="s">
        <v>35</v>
      </c>
      <c r="D3" s="50">
        <f>SUM(Vorrunde!H18,Vorrunde!J2)</f>
        <v>0</v>
      </c>
      <c r="E3" s="67">
        <f>SUM(B3-D3)</f>
        <v>0</v>
      </c>
      <c r="F3" s="45">
        <f>SUM(Vorrunde!N18,Vorrunde!Q18,Vorrunde!L2,Vorrunde!O2)</f>
        <v>0</v>
      </c>
      <c r="G3" s="45" t="s">
        <v>35</v>
      </c>
      <c r="H3" s="45">
        <f>SUM(Vorrunde!L18,Vorrunde!O18,Vorrunde!N2,Vorrunde!Q2)</f>
        <v>0</v>
      </c>
      <c r="I3" s="63" t="str">
        <f>IF((H3=0),"Quotient",F3/H3)</f>
        <v>Quotient</v>
      </c>
      <c r="J3" s="60">
        <f>RANK(B3,$B$2:$B$4)</f>
        <v>1</v>
      </c>
      <c r="K3" s="189" t="str">
        <f>A3</f>
        <v>Team 2, Gruppe A</v>
      </c>
      <c r="L3" s="54"/>
      <c r="M3" s="53">
        <v>2</v>
      </c>
      <c r="N3" s="5" t="str">
        <f>IF(B6+B7+B8=0,"Team 1, Gruppe B",VLOOKUP(1,J6:K8,2,FALSE))</f>
        <v>Team 1, Gruppe B</v>
      </c>
      <c r="O3" s="11" t="s">
        <v>41</v>
      </c>
    </row>
    <row r="4" spans="1:15" ht="12.75">
      <c r="A4" s="40" t="str">
        <f>Anmeldung!B30</f>
        <v>Team 3, Gruppe A</v>
      </c>
      <c r="B4" s="38">
        <f>SUM(Vorrunde!J10,Vorrunde!J2)</f>
        <v>0</v>
      </c>
      <c r="C4" s="45" t="s">
        <v>35</v>
      </c>
      <c r="D4" s="50">
        <f>SUM(Vorrunde!H10,Vorrunde!H2)</f>
        <v>0</v>
      </c>
      <c r="E4" s="67">
        <f>SUM(B4-D4)</f>
        <v>0</v>
      </c>
      <c r="F4" s="45">
        <f>SUM(Vorrunde!N10,Vorrunde!Q10,Vorrunde!N2,Vorrunde!Q2)</f>
        <v>0</v>
      </c>
      <c r="G4" s="45" t="s">
        <v>35</v>
      </c>
      <c r="H4" s="45">
        <f>SUM(Vorrunde!L10,Vorrunde!O10,Vorrunde!L2,Vorrunde!O2)</f>
        <v>0</v>
      </c>
      <c r="I4" s="63" t="str">
        <f>IF((H4=0),"Quotient",F4/H4)</f>
        <v>Quotient</v>
      </c>
      <c r="J4" s="61">
        <f>RANK(B4,$B$2:$B$4)</f>
        <v>1</v>
      </c>
      <c r="K4" s="189" t="str">
        <f>A4</f>
        <v>Team 3, Gruppe A</v>
      </c>
      <c r="L4" s="54"/>
      <c r="M4" s="53">
        <v>3</v>
      </c>
      <c r="N4" s="5" t="str">
        <f>IF(B10+B11+B12=0,"Team 1, Gruppe C",VLOOKUP(1,J10:K12,2,FALSE))</f>
        <v>Team 1, Gruppe C</v>
      </c>
      <c r="O4" s="11" t="s">
        <v>42</v>
      </c>
    </row>
    <row r="5" spans="1:15" ht="12.75">
      <c r="A5" s="41" t="s">
        <v>28</v>
      </c>
      <c r="B5" s="37"/>
      <c r="C5" s="48"/>
      <c r="D5" s="199"/>
      <c r="E5" s="69"/>
      <c r="F5" s="46"/>
      <c r="G5" s="48"/>
      <c r="H5" s="46"/>
      <c r="I5" s="65"/>
      <c r="J5" s="230"/>
      <c r="K5" s="189"/>
      <c r="L5" s="54"/>
      <c r="M5" s="53">
        <v>4</v>
      </c>
      <c r="N5" s="5" t="str">
        <f>IF(B14+B15+B16=0,"Team 1, Gruppe D",VLOOKUP(1,J14:K16,2,FALSE))</f>
        <v>Team 1, Gruppe D</v>
      </c>
      <c r="O5" s="11" t="s">
        <v>43</v>
      </c>
    </row>
    <row r="6" spans="1:15" ht="12.75">
      <c r="A6" s="40" t="str">
        <f>Anmeldung!D28</f>
        <v>Team 1, Gruppe B</v>
      </c>
      <c r="B6" s="38">
        <f>SUM(Vorrunde!H19,Vorrunde!H11)</f>
        <v>0</v>
      </c>
      <c r="C6" s="45" t="s">
        <v>35</v>
      </c>
      <c r="D6" s="50">
        <f>SUM(Vorrunde!J19,Vorrunde!J11)</f>
        <v>0</v>
      </c>
      <c r="E6" s="67">
        <f>SUM(B6-D6)</f>
        <v>0</v>
      </c>
      <c r="F6" s="45">
        <f>SUM(Vorrunde!L19,Vorrunde!O19,Vorrunde!L11,Vorrunde!O11)</f>
        <v>0</v>
      </c>
      <c r="G6" s="45" t="s">
        <v>35</v>
      </c>
      <c r="H6" s="45">
        <f>SUM(Vorrunde!N19,Vorrunde!Q19,Vorrunde!N11,Vorrunde!Q11)</f>
        <v>0</v>
      </c>
      <c r="I6" s="63" t="str">
        <f>IF((H6=0),"Quotient",F6/H6)</f>
        <v>Quotient</v>
      </c>
      <c r="J6" s="60">
        <f>RANK(B6,$B$6:$B$8)</f>
        <v>1</v>
      </c>
      <c r="K6" s="189" t="str">
        <f>A6</f>
        <v>Team 1, Gruppe B</v>
      </c>
      <c r="L6" s="54"/>
      <c r="M6" s="53">
        <v>5</v>
      </c>
      <c r="N6" s="5" t="str">
        <f>IF(B18+B19+B20=0,"Team 1, Gruppe E",VLOOKUP(1,J18:K20,2,FALSE))</f>
        <v>Team 1, Gruppe E</v>
      </c>
      <c r="O6" s="11" t="s">
        <v>71</v>
      </c>
    </row>
    <row r="7" spans="1:15" ht="12.75">
      <c r="A7" s="40" t="str">
        <f>Anmeldung!D29</f>
        <v>Team 2, Gruppe B</v>
      </c>
      <c r="B7" s="38">
        <f>SUM(Vorrunde!J19,Vorrunde!H3)</f>
        <v>0</v>
      </c>
      <c r="C7" s="45" t="s">
        <v>35</v>
      </c>
      <c r="D7" s="50">
        <f>SUM(Vorrunde!H19,Vorrunde!J3)</f>
        <v>0</v>
      </c>
      <c r="E7" s="67">
        <f>SUM(B7-D7)</f>
        <v>0</v>
      </c>
      <c r="F7" s="45">
        <f>SUM(Vorrunde!N19,Vorrunde!Q19,Vorrunde!L3,Vorrunde!O3)</f>
        <v>0</v>
      </c>
      <c r="G7" s="45" t="s">
        <v>35</v>
      </c>
      <c r="H7" s="45">
        <f>SUM(Vorrunde!L19,Vorrunde!O19,Vorrunde!N3,Vorrunde!Q3)</f>
        <v>0</v>
      </c>
      <c r="I7" s="63" t="str">
        <f>IF((H7=0),"Quotient",F7/H7)</f>
        <v>Quotient</v>
      </c>
      <c r="J7" s="60">
        <f>RANK(B7,$B$6:$B$8)</f>
        <v>1</v>
      </c>
      <c r="K7" s="189" t="str">
        <f>A7</f>
        <v>Team 2, Gruppe B</v>
      </c>
      <c r="L7" s="54"/>
      <c r="M7" s="53">
        <v>6</v>
      </c>
      <c r="N7" s="5" t="str">
        <f>IF(B22+B23+B24=0,"Team 1, Gruppe F",VLOOKUP(1,J22:K24,2,FALSE))</f>
        <v>Team 1, Gruppe F</v>
      </c>
      <c r="O7" s="11" t="s">
        <v>72</v>
      </c>
    </row>
    <row r="8" spans="1:15" ht="12.75">
      <c r="A8" s="42" t="str">
        <f>Anmeldung!D30</f>
        <v>Team 3, Gruppe B</v>
      </c>
      <c r="B8" s="39">
        <f>SUM(Vorrunde!J11,Vorrunde!J3)</f>
        <v>0</v>
      </c>
      <c r="C8" s="47" t="s">
        <v>35</v>
      </c>
      <c r="D8" s="51">
        <f>SUM(Vorrunde!H11,Vorrunde!H3)</f>
        <v>0</v>
      </c>
      <c r="E8" s="68">
        <f>SUM(B8-D8)</f>
        <v>0</v>
      </c>
      <c r="F8" s="47">
        <f>SUM(Vorrunde!N11,Vorrunde!Q11,Vorrunde!N3,Vorrunde!Q3)</f>
        <v>0</v>
      </c>
      <c r="G8" s="47" t="s">
        <v>35</v>
      </c>
      <c r="H8" s="47">
        <f>SUM(Vorrunde!L11,Vorrunde!O11,Vorrunde!L3,Vorrunde!O3)</f>
        <v>0</v>
      </c>
      <c r="I8" s="64" t="str">
        <f>IF((H8=0),"Quotient",F8/H8)</f>
        <v>Quotient</v>
      </c>
      <c r="J8" s="61">
        <f>RANK(B8,$B$6:$B$8)</f>
        <v>1</v>
      </c>
      <c r="K8" s="189" t="str">
        <f>A8</f>
        <v>Team 3, Gruppe B</v>
      </c>
      <c r="L8" s="54"/>
      <c r="M8" s="53">
        <v>7</v>
      </c>
      <c r="N8" s="5" t="str">
        <f>IF(B26+B27+B28=0,"Team 1, Gruppe G",VLOOKUP(1,J26:K28,2,FALSE))</f>
        <v>Team 1, Gruppe G</v>
      </c>
      <c r="O8" s="11" t="s">
        <v>85</v>
      </c>
    </row>
    <row r="9" spans="1:15" ht="12.75">
      <c r="A9" s="41" t="s">
        <v>27</v>
      </c>
      <c r="B9" s="37"/>
      <c r="C9" s="46"/>
      <c r="D9" s="49"/>
      <c r="E9" s="69"/>
      <c r="F9" s="46"/>
      <c r="G9" s="46"/>
      <c r="H9" s="49"/>
      <c r="I9" s="65"/>
      <c r="J9" s="230"/>
      <c r="K9" s="189"/>
      <c r="L9" s="54"/>
      <c r="M9" s="53">
        <v>8</v>
      </c>
      <c r="N9" s="5" t="str">
        <f>IF(B30+B31+B32=0,"Team 1, Gruppe H",VLOOKUP(1,J30:K32,2,FALSE))</f>
        <v>Team 1, Gruppe H</v>
      </c>
      <c r="O9" s="11" t="s">
        <v>83</v>
      </c>
    </row>
    <row r="10" spans="1:15" ht="12.75">
      <c r="A10" s="40" t="str">
        <f>Anmeldung!F28</f>
        <v>Team 1, Gruppe C</v>
      </c>
      <c r="B10" s="38">
        <f>SUM(Vorrunde!H20,Vorrunde!H12)</f>
        <v>0</v>
      </c>
      <c r="C10" s="45" t="s">
        <v>35</v>
      </c>
      <c r="D10" s="50">
        <f>SUM(Vorrunde!J20,Vorrunde!J12)</f>
        <v>0</v>
      </c>
      <c r="E10" s="67">
        <f>SUM(B10-D10)</f>
        <v>0</v>
      </c>
      <c r="F10" s="45">
        <f>SUM(Vorrunde!L20,Vorrunde!O20,Vorrunde!L12,Vorrunde!O12)</f>
        <v>0</v>
      </c>
      <c r="G10" s="45" t="s">
        <v>35</v>
      </c>
      <c r="H10" s="45">
        <f>SUM(Vorrunde!N20,Vorrunde!Q20,Vorrunde!N12,Vorrunde!Q12)</f>
        <v>0</v>
      </c>
      <c r="I10" s="63" t="str">
        <f>IF((H10=0),"Quotient",F10/H10)</f>
        <v>Quotient</v>
      </c>
      <c r="J10" s="60">
        <f>RANK(B10,$B$10:$B$12)</f>
        <v>1</v>
      </c>
      <c r="K10" s="189" t="str">
        <f>A10</f>
        <v>Team 1, Gruppe C</v>
      </c>
      <c r="M10" s="8">
        <v>9</v>
      </c>
      <c r="N10" s="5" t="str">
        <f>IF(B18+B19+B20=0,"Team 2, Gruppe E",VLOOKUP(2,J18:K20,2,FALSE))</f>
        <v>Team 2, Gruppe E</v>
      </c>
      <c r="O10" s="11" t="s">
        <v>73</v>
      </c>
    </row>
    <row r="11" spans="1:15" ht="12.75">
      <c r="A11" s="40" t="str">
        <f>Anmeldung!F29</f>
        <v>Team 2, Gruppe C</v>
      </c>
      <c r="B11" s="38">
        <f>SUM(Vorrunde!J20,Vorrunde!H4)</f>
        <v>0</v>
      </c>
      <c r="C11" s="45" t="s">
        <v>35</v>
      </c>
      <c r="D11" s="50">
        <f>SUM(Vorrunde!H20,Vorrunde!J4)</f>
        <v>0</v>
      </c>
      <c r="E11" s="67">
        <f>SUM(B11-D11)</f>
        <v>0</v>
      </c>
      <c r="F11" s="45">
        <f>SUM(Vorrunde!N20,Vorrunde!Q20,Vorrunde!L4,Vorrunde!O4)</f>
        <v>0</v>
      </c>
      <c r="G11" s="45" t="s">
        <v>35</v>
      </c>
      <c r="H11" s="45">
        <f>SUM(Vorrunde!L20,Vorrunde!O20,Vorrunde!N4,Vorrunde!Q4)</f>
        <v>0</v>
      </c>
      <c r="I11" s="63" t="str">
        <f>IF((H11=0),"Quotient",F11/H11)</f>
        <v>Quotient</v>
      </c>
      <c r="J11" s="60">
        <f>RANK(B11,$B$10:$B$12)</f>
        <v>1</v>
      </c>
      <c r="K11" s="189" t="str">
        <f>A11</f>
        <v>Team 2, Gruppe C</v>
      </c>
      <c r="M11" s="8">
        <v>10</v>
      </c>
      <c r="N11" s="5" t="str">
        <f>IF(B22+B23+B24=0,"Team 2, Gruppe F",VLOOKUP(2,J22:K24,2,FALSE))</f>
        <v>Team 2, Gruppe F</v>
      </c>
      <c r="O11" s="11" t="s">
        <v>74</v>
      </c>
    </row>
    <row r="12" spans="1:15" ht="12.75">
      <c r="A12" s="42" t="str">
        <f>Anmeldung!F30</f>
        <v>Team 3, Gruppe C</v>
      </c>
      <c r="B12" s="39">
        <f>SUM(Vorrunde!J12,Vorrunde!J4)</f>
        <v>0</v>
      </c>
      <c r="C12" s="47" t="s">
        <v>35</v>
      </c>
      <c r="D12" s="51">
        <f>SUM(Vorrunde!H12,Vorrunde!H4)</f>
        <v>0</v>
      </c>
      <c r="E12" s="68">
        <f>SUM(B12-D12)</f>
        <v>0</v>
      </c>
      <c r="F12" s="47">
        <f>SUM(Vorrunde!N12,Vorrunde!Q12,Vorrunde!N4,Vorrunde!Q4)</f>
        <v>0</v>
      </c>
      <c r="G12" s="47" t="s">
        <v>35</v>
      </c>
      <c r="H12" s="47">
        <f>SUM(Vorrunde!L12,Vorrunde!O12,Vorrunde!L4,Vorrunde!O4)</f>
        <v>0</v>
      </c>
      <c r="I12" s="64" t="str">
        <f>IF((H12=0),"Quotient",F12/H12)</f>
        <v>Quotient</v>
      </c>
      <c r="J12" s="61">
        <f>RANK(B12,$B$10:$B$12)</f>
        <v>1</v>
      </c>
      <c r="K12" s="189" t="str">
        <f>A12</f>
        <v>Team 3, Gruppe C</v>
      </c>
      <c r="M12" s="8">
        <v>11</v>
      </c>
      <c r="N12" s="5" t="str">
        <f>IF(B26+B27+B28=0,"Team 2, Gruppe G",VLOOKUP(2,J26:K28,2,FALSE))</f>
        <v>Team 2, Gruppe G</v>
      </c>
      <c r="O12" s="11" t="s">
        <v>82</v>
      </c>
    </row>
    <row r="13" spans="1:15" ht="12.75">
      <c r="A13" s="41" t="s">
        <v>26</v>
      </c>
      <c r="B13" s="37"/>
      <c r="C13" s="48"/>
      <c r="D13" s="49"/>
      <c r="E13" s="69"/>
      <c r="F13" s="46"/>
      <c r="G13" s="48"/>
      <c r="H13" s="46"/>
      <c r="I13" s="65"/>
      <c r="J13" s="230"/>
      <c r="K13" s="189"/>
      <c r="M13" s="8">
        <v>12</v>
      </c>
      <c r="N13" s="5" t="str">
        <f>IF(B30+B31+B32=0,"Team 2, Gruppe H",VLOOKUP(2,J30:K32,2,FALSE))</f>
        <v>Team 2, Gruppe H</v>
      </c>
      <c r="O13" s="11" t="s">
        <v>84</v>
      </c>
    </row>
    <row r="14" spans="1:15" ht="12.75">
      <c r="A14" s="40" t="str">
        <f>Anmeldung!H28</f>
        <v>Team 1, Gruppe D</v>
      </c>
      <c r="B14" s="38">
        <f>SUM(Vorrunde!H21,Vorrunde!H13)</f>
        <v>0</v>
      </c>
      <c r="C14" s="45" t="s">
        <v>35</v>
      </c>
      <c r="D14" s="50">
        <f>SUM(Vorrunde!J21,Vorrunde!J13)</f>
        <v>0</v>
      </c>
      <c r="E14" s="67">
        <f>SUM(B14-D14)</f>
        <v>0</v>
      </c>
      <c r="F14" s="45">
        <f>SUM(Vorrunde!L21,Vorrunde!O21,Vorrunde!L13,Vorrunde!O13)</f>
        <v>0</v>
      </c>
      <c r="G14" s="45" t="s">
        <v>35</v>
      </c>
      <c r="H14" s="45">
        <f>SUM(Vorrunde!N21,Vorrunde!Q21,Vorrunde!N13,Vorrunde!Q13)</f>
        <v>0</v>
      </c>
      <c r="I14" s="63" t="str">
        <f>IF((H14=0),"Quotient",F14/H14)</f>
        <v>Quotient</v>
      </c>
      <c r="J14" s="60">
        <f>RANK(B14,$B$14:$B$16)</f>
        <v>1</v>
      </c>
      <c r="K14" s="189" t="str">
        <f>A14</f>
        <v>Team 1, Gruppe D</v>
      </c>
      <c r="M14" s="43">
        <v>13</v>
      </c>
      <c r="N14" s="153" t="str">
        <f>IF(B2+B3+B4=0,"Team 2, Gruppe A",VLOOKUP(2,J2:K4,2,FALSE))</f>
        <v>Team 2, Gruppe A</v>
      </c>
      <c r="O14" s="11" t="s">
        <v>45</v>
      </c>
    </row>
    <row r="15" spans="1:15" ht="12.75">
      <c r="A15" s="40" t="str">
        <f>Anmeldung!H29</f>
        <v>Team 2, Gruppe D</v>
      </c>
      <c r="B15" s="38">
        <f>SUM(Vorrunde!J21,Vorrunde!H5)</f>
        <v>0</v>
      </c>
      <c r="C15" s="45" t="s">
        <v>35</v>
      </c>
      <c r="D15" s="50">
        <f>SUM(Vorrunde!H21,Vorrunde!J5)</f>
        <v>0</v>
      </c>
      <c r="E15" s="67">
        <f>SUM(B15-D15)</f>
        <v>0</v>
      </c>
      <c r="F15" s="45">
        <f>SUM(Vorrunde!N21,Vorrunde!Q21,Vorrunde!L5,Vorrunde!O5)</f>
        <v>0</v>
      </c>
      <c r="G15" s="45" t="s">
        <v>35</v>
      </c>
      <c r="H15" s="45">
        <f>SUM(Vorrunde!L21,Vorrunde!O21,Vorrunde!N5,Vorrunde!Q5)</f>
        <v>0</v>
      </c>
      <c r="I15" s="63" t="str">
        <f>IF((H15=0),"Quotient",F15/H15)</f>
        <v>Quotient</v>
      </c>
      <c r="J15" s="60">
        <f>RANK(B15,$B$14:$B$16)</f>
        <v>1</v>
      </c>
      <c r="K15" s="189" t="str">
        <f>A15</f>
        <v>Team 2, Gruppe D</v>
      </c>
      <c r="M15" s="8">
        <v>14</v>
      </c>
      <c r="N15" s="5" t="str">
        <f>IF(B6+B7+B8=0,"Team 2, Gruppe B",VLOOKUP(2,J6:K8,2,FALSE))</f>
        <v>Team 2, Gruppe B</v>
      </c>
      <c r="O15" s="11" t="s">
        <v>44</v>
      </c>
    </row>
    <row r="16" spans="1:15" ht="12.75">
      <c r="A16" s="42" t="str">
        <f>Anmeldung!H30</f>
        <v>Team 3, Gruppe D</v>
      </c>
      <c r="B16" s="39">
        <f>SUM(Vorrunde!J13,Vorrunde!J5)</f>
        <v>0</v>
      </c>
      <c r="C16" s="47" t="s">
        <v>35</v>
      </c>
      <c r="D16" s="51">
        <f>SUM(Vorrunde!H13,Vorrunde!H5)</f>
        <v>0</v>
      </c>
      <c r="E16" s="68">
        <f>SUM(B16-D16)</f>
        <v>0</v>
      </c>
      <c r="F16" s="47">
        <f>SUM(Vorrunde!N13,Vorrunde!Q13,Vorrunde!N5,Vorrunde!Q5)</f>
        <v>0</v>
      </c>
      <c r="G16" s="47" t="s">
        <v>35</v>
      </c>
      <c r="H16" s="47">
        <f>SUM(Vorrunde!L13,Vorrunde!O13,Vorrunde!L5,Vorrunde!O5)</f>
        <v>0</v>
      </c>
      <c r="I16" s="64" t="str">
        <f>IF((H16=0),"Quotient",F16/H16)</f>
        <v>Quotient</v>
      </c>
      <c r="J16" s="61">
        <f>RANK(B16,$B$14:$B$16)</f>
        <v>1</v>
      </c>
      <c r="K16" s="189" t="str">
        <f>A16</f>
        <v>Team 3, Gruppe D</v>
      </c>
      <c r="M16" s="43">
        <v>15</v>
      </c>
      <c r="N16" s="5" t="str">
        <f>IF(B10+B11+B12=0,"Team 2, Gruppe C",VLOOKUP(2,J10:K12,2,FALSE))</f>
        <v>Team 2, Gruppe C</v>
      </c>
      <c r="O16" s="11" t="s">
        <v>46</v>
      </c>
    </row>
    <row r="17" spans="1:15" ht="12.75">
      <c r="A17" s="41" t="s">
        <v>65</v>
      </c>
      <c r="B17" s="37"/>
      <c r="C17" s="48"/>
      <c r="D17" s="49"/>
      <c r="E17" s="69"/>
      <c r="F17" s="46"/>
      <c r="G17" s="48"/>
      <c r="H17" s="46"/>
      <c r="I17" s="65"/>
      <c r="J17" s="230"/>
      <c r="K17" s="189"/>
      <c r="M17" s="8">
        <v>16</v>
      </c>
      <c r="N17" s="5" t="str">
        <f>IF(B14+B15+B16=0,"Team 2, Gruppe D",VLOOKUP(2,J14:K16,2,FALSE))</f>
        <v>Team 2, Gruppe D</v>
      </c>
      <c r="O17" s="11" t="s">
        <v>47</v>
      </c>
    </row>
    <row r="18" spans="1:15" ht="12.75">
      <c r="A18" s="40" t="str">
        <f>Anmeldung!B32</f>
        <v>Team 1, Gruppe E</v>
      </c>
      <c r="B18" s="38">
        <f>SUM(Vorrunde!H14,Vorrunde!H22)</f>
        <v>0</v>
      </c>
      <c r="C18" s="45" t="s">
        <v>35</v>
      </c>
      <c r="D18" s="50">
        <f>SUM(Vorrunde!J22,Vorrunde!J14)</f>
        <v>0</v>
      </c>
      <c r="E18" s="67">
        <f>SUM(B18-D18)</f>
        <v>0</v>
      </c>
      <c r="F18" s="45">
        <f>SUM(Vorrunde!L22,Vorrunde!O22,Vorrunde!L14,Vorrunde!O14)</f>
        <v>0</v>
      </c>
      <c r="G18" s="45" t="s">
        <v>35</v>
      </c>
      <c r="H18" s="45">
        <f>SUM(Vorrunde!N22,Vorrunde!Q22,Vorrunde!N14,Vorrunde!Q14)</f>
        <v>0</v>
      </c>
      <c r="I18" s="63" t="str">
        <f>IF((H18=0),"Quotient",F18/H18)</f>
        <v>Quotient</v>
      </c>
      <c r="J18" s="60">
        <f>RANK(B18,$B$18:$B$20)</f>
        <v>1</v>
      </c>
      <c r="K18" s="189" t="str">
        <f>A18</f>
        <v>Team 1, Gruppe E</v>
      </c>
      <c r="M18" s="43">
        <v>17</v>
      </c>
      <c r="N18" s="5" t="str">
        <f>IF(B6+B7+B8=0,"Team 3, Gruppe B",VLOOKUP(3,J6:K8,2,FALSE))</f>
        <v>Team 3, Gruppe B</v>
      </c>
      <c r="O18" s="11" t="s">
        <v>50</v>
      </c>
    </row>
    <row r="19" spans="1:15" ht="12.75">
      <c r="A19" s="40" t="str">
        <f>Anmeldung!B33</f>
        <v>Team 2, Gruppe E</v>
      </c>
      <c r="B19" s="38">
        <f>SUM(Vorrunde!J22,Vorrunde!H6)</f>
        <v>0</v>
      </c>
      <c r="C19" s="45" t="s">
        <v>35</v>
      </c>
      <c r="D19" s="50">
        <f>SUM(Vorrunde!H22,Vorrunde!J6)</f>
        <v>0</v>
      </c>
      <c r="E19" s="67">
        <f>SUM(B19-D19)</f>
        <v>0</v>
      </c>
      <c r="F19" s="45">
        <f>SUM(Vorrunde!N22,Vorrunde!Q22,Vorrunde!L6,Vorrunde!O6)</f>
        <v>0</v>
      </c>
      <c r="G19" s="45" t="s">
        <v>35</v>
      </c>
      <c r="H19" s="45">
        <f>SUM(Vorrunde!L22,Vorrunde!O22,Vorrunde!N6,Vorrunde!Q6)</f>
        <v>0</v>
      </c>
      <c r="I19" s="63" t="str">
        <f>IF((H19=0),"Quotient",F19/H19)</f>
        <v>Quotient</v>
      </c>
      <c r="J19" s="60">
        <f>RANK(B19,$B$18:$B$20)</f>
        <v>1</v>
      </c>
      <c r="K19" s="189" t="str">
        <f>A19</f>
        <v>Team 2, Gruppe E</v>
      </c>
      <c r="L19" s="62"/>
      <c r="M19" s="8">
        <v>18</v>
      </c>
      <c r="N19" s="5" t="str">
        <f>IF(B2+B3+B4=0,"Team 3, Gruppe A",VLOOKUP(3,J2:K4,2,FALSE))</f>
        <v>Team 3, Gruppe A</v>
      </c>
      <c r="O19" s="11" t="s">
        <v>49</v>
      </c>
    </row>
    <row r="20" spans="1:15" ht="12.75">
      <c r="A20" s="42" t="str">
        <f>Anmeldung!B34</f>
        <v>Team 3, Gruppe E</v>
      </c>
      <c r="B20" s="39">
        <f>SUM(Vorrunde!J14,Vorrunde!J6)</f>
        <v>0</v>
      </c>
      <c r="C20" s="47" t="s">
        <v>35</v>
      </c>
      <c r="D20" s="51">
        <f>SUM(Vorrunde!H14,Vorrunde!H6)</f>
        <v>0</v>
      </c>
      <c r="E20" s="68">
        <f>SUM(B20-D20)</f>
        <v>0</v>
      </c>
      <c r="F20" s="47">
        <f>SUM(Vorrunde!N14,Vorrunde!Q14,Vorrunde!N6,Vorrunde!Q6)</f>
        <v>0</v>
      </c>
      <c r="G20" s="47" t="s">
        <v>35</v>
      </c>
      <c r="H20" s="47">
        <f>SUM(Vorrunde!L14,Vorrunde!O14,Vorrunde!L6,Vorrunde!O6)</f>
        <v>0</v>
      </c>
      <c r="I20" s="64" t="str">
        <f>IF((H20=0),"Quotient",F20/H20)</f>
        <v>Quotient</v>
      </c>
      <c r="J20" s="61">
        <f>RANK(B20,$B$18:$B$20)</f>
        <v>1</v>
      </c>
      <c r="K20" s="189" t="str">
        <f>A20</f>
        <v>Team 3, Gruppe E</v>
      </c>
      <c r="M20" s="43">
        <v>19</v>
      </c>
      <c r="N20" s="153" t="str">
        <f>IF(B14+B15+B16=0,"Team 3, Gruppe D",VLOOKUP(3,J14:K16,2,FALSE))</f>
        <v>Team 3, Gruppe D</v>
      </c>
      <c r="O20" s="11" t="s">
        <v>52</v>
      </c>
    </row>
    <row r="21" spans="1:15" ht="12.75">
      <c r="A21" s="41" t="s">
        <v>66</v>
      </c>
      <c r="B21" s="37"/>
      <c r="C21" s="48"/>
      <c r="D21" s="49"/>
      <c r="E21" s="69"/>
      <c r="F21" s="46"/>
      <c r="G21" s="48"/>
      <c r="H21" s="46"/>
      <c r="I21" s="65"/>
      <c r="J21" s="230"/>
      <c r="K21" s="189"/>
      <c r="M21" s="8">
        <v>20</v>
      </c>
      <c r="N21" s="5" t="str">
        <f>IF(B10+B11+B12=0,"Team 3, Gruppe C",VLOOKUP(3,J10:K12,2,FALSE))</f>
        <v>Team 3, Gruppe C</v>
      </c>
      <c r="O21" s="11" t="s">
        <v>51</v>
      </c>
    </row>
    <row r="22" spans="1:15" ht="12.75">
      <c r="A22" s="40" t="str">
        <f>Anmeldung!D32</f>
        <v>Team 1, Gruppe F</v>
      </c>
      <c r="B22" s="38">
        <f>SUM(Vorrunde!H15,Vorrunde!H23)</f>
        <v>0</v>
      </c>
      <c r="C22" s="45" t="s">
        <v>35</v>
      </c>
      <c r="D22" s="50">
        <f>SUM(Vorrunde!J23,Vorrunde!J15)</f>
        <v>0</v>
      </c>
      <c r="E22" s="67">
        <f>SUM(B22-D22)</f>
        <v>0</v>
      </c>
      <c r="F22" s="45">
        <f>SUM(Vorrunde!L23,Vorrunde!O23,Vorrunde!L15,Vorrunde!O15)</f>
        <v>0</v>
      </c>
      <c r="G22" s="45" t="s">
        <v>35</v>
      </c>
      <c r="H22" s="45">
        <f>SUM(Vorrunde!N23,Vorrunde!Q23,Vorrunde!N15,Vorrunde!Q15)</f>
        <v>0</v>
      </c>
      <c r="I22" s="63" t="str">
        <f>IF((H22=0),"Quotient",F22/H22)</f>
        <v>Quotient</v>
      </c>
      <c r="J22" s="60">
        <f>RANK(B22,$B$22:$B$24)</f>
        <v>1</v>
      </c>
      <c r="K22" s="189" t="str">
        <f>A22</f>
        <v>Team 1, Gruppe F</v>
      </c>
      <c r="M22" s="43">
        <v>21</v>
      </c>
      <c r="N22" s="5" t="str">
        <f>IF(B22+B23+B24=0,"Team 3, Gruppe F",VLOOKUP(3,J22:K24,2,FALSE))</f>
        <v>Team 3, Gruppe F</v>
      </c>
      <c r="O22" s="11" t="s">
        <v>70</v>
      </c>
    </row>
    <row r="23" spans="1:15" ht="12.75">
      <c r="A23" s="40" t="str">
        <f>Anmeldung!D33</f>
        <v>Team 2, Gruppe F</v>
      </c>
      <c r="B23" s="38">
        <f>SUM(Vorrunde!J23,Vorrunde!H7)</f>
        <v>0</v>
      </c>
      <c r="C23" s="45" t="s">
        <v>35</v>
      </c>
      <c r="D23" s="50">
        <f>SUM(Vorrunde!H23,Vorrunde!J7)</f>
        <v>0</v>
      </c>
      <c r="E23" s="67">
        <f>SUM(B23-D23)</f>
        <v>0</v>
      </c>
      <c r="F23" s="45">
        <f>SUM(Vorrunde!N23,Vorrunde!Q23,Vorrunde!L7,Vorrunde!O7)</f>
        <v>0</v>
      </c>
      <c r="G23" s="45" t="s">
        <v>35</v>
      </c>
      <c r="H23" s="45">
        <f>SUM(Vorrunde!L23,Vorrunde!O23,Vorrunde!N7,Vorrunde!Q7)</f>
        <v>0</v>
      </c>
      <c r="I23" s="63" t="str">
        <f>IF((H23=0),"Quotient",F23/H23)</f>
        <v>Quotient</v>
      </c>
      <c r="J23" s="60">
        <f>RANK(B23,$B$22:$B$24)</f>
        <v>1</v>
      </c>
      <c r="K23" s="189" t="str">
        <f>A23</f>
        <v>Team 2, Gruppe F</v>
      </c>
      <c r="M23" s="8">
        <v>22</v>
      </c>
      <c r="N23" s="5" t="str">
        <f>IF(B18+B19+B20=0,"Team 3, Gruppe E",VLOOKUP(3,J18:K20,2,FALSE))</f>
        <v>Team 3, Gruppe E</v>
      </c>
      <c r="O23" s="11" t="s">
        <v>69</v>
      </c>
    </row>
    <row r="24" spans="1:15" ht="12.75">
      <c r="A24" s="42" t="str">
        <f>Anmeldung!D34</f>
        <v>Team 3, Gruppe F</v>
      </c>
      <c r="B24" s="39">
        <f>SUM(Vorrunde!J15,Vorrunde!J7)</f>
        <v>0</v>
      </c>
      <c r="C24" s="47" t="s">
        <v>35</v>
      </c>
      <c r="D24" s="51">
        <f>SUM(Vorrunde!H15,Vorrunde!H7)</f>
        <v>0</v>
      </c>
      <c r="E24" s="68">
        <f>SUM(B24-D24)</f>
        <v>0</v>
      </c>
      <c r="F24" s="47">
        <f>SUM(Vorrunde!N15,Vorrunde!Q15,Vorrunde!N7,Vorrunde!Q7)</f>
        <v>0</v>
      </c>
      <c r="G24" s="47" t="s">
        <v>35</v>
      </c>
      <c r="H24" s="47">
        <f>SUM(Vorrunde!L15,Vorrunde!O15,Vorrunde!L7,Vorrunde!O7)</f>
        <v>0</v>
      </c>
      <c r="I24" s="64" t="str">
        <f>IF((H24=0),"Quotient",F24/H24)</f>
        <v>Quotient</v>
      </c>
      <c r="J24" s="61">
        <f>RANK(B24,$B$22:$B$24)</f>
        <v>1</v>
      </c>
      <c r="K24" s="189" t="str">
        <f>A24</f>
        <v>Team 3, Gruppe F</v>
      </c>
      <c r="M24" s="43">
        <v>23</v>
      </c>
      <c r="N24" s="5" t="str">
        <f>IF(B30+B31+B32=0,"Team 3, Gruppe H",VLOOKUP(3,J30:K32,2,FALSE))</f>
        <v>Team 3, Gruppe H</v>
      </c>
      <c r="O24" s="11" t="s">
        <v>81</v>
      </c>
    </row>
    <row r="25" spans="1:15" ht="12.75">
      <c r="A25" s="41" t="s">
        <v>76</v>
      </c>
      <c r="B25" s="37"/>
      <c r="C25" s="48"/>
      <c r="D25" s="49"/>
      <c r="E25" s="69"/>
      <c r="F25" s="46"/>
      <c r="G25" s="48"/>
      <c r="H25" s="46"/>
      <c r="I25" s="196"/>
      <c r="J25" s="230"/>
      <c r="K25" s="189"/>
      <c r="M25" s="8">
        <v>24</v>
      </c>
      <c r="N25" s="5" t="str">
        <f>IF(B26+B27+B28=0,"Team 3, Gruppe G",VLOOKUP(3,J26:K28,2,FALSE))</f>
        <v>Team 3, Gruppe G</v>
      </c>
      <c r="O25" s="11" t="s">
        <v>80</v>
      </c>
    </row>
    <row r="26" spans="1:15" ht="12.75">
      <c r="A26" s="40" t="str">
        <f>Anmeldung!F32</f>
        <v>Team 1, Gruppe G</v>
      </c>
      <c r="B26" s="38">
        <f>SUM(Vorrunde!H24,Vorrunde!H16)</f>
        <v>0</v>
      </c>
      <c r="C26" s="45" t="s">
        <v>35</v>
      </c>
      <c r="D26" s="50">
        <f>SUM(Vorrunde!J24,Vorrunde!J16)</f>
        <v>0</v>
      </c>
      <c r="E26" s="67">
        <f>SUM(B26-D26)</f>
        <v>0</v>
      </c>
      <c r="F26" s="45">
        <f>SUM(Vorrunde!L24,Vorrunde!O24,Vorrunde!L16,Vorrunde!O16)</f>
        <v>0</v>
      </c>
      <c r="G26" s="45" t="s">
        <v>35</v>
      </c>
      <c r="H26" s="45">
        <f>SUM(Vorrunde!N24,Vorrunde!Q24,Vorrunde!N16,Vorrunde!Q16)</f>
        <v>0</v>
      </c>
      <c r="I26" s="197" t="str">
        <f>IF((H26=0),"Quotient",F26/H26)</f>
        <v>Quotient</v>
      </c>
      <c r="J26" s="60">
        <f>RANK(B26,$B$26:$B$28)</f>
        <v>1</v>
      </c>
      <c r="K26" s="189" t="str">
        <f>A26</f>
        <v>Team 1, Gruppe G</v>
      </c>
      <c r="M26" s="34"/>
      <c r="N26" s="81"/>
      <c r="O26" s="81"/>
    </row>
    <row r="27" spans="1:15" ht="12.75">
      <c r="A27" s="40" t="str">
        <f>Anmeldung!F33</f>
        <v>Team 2, Gruppe G</v>
      </c>
      <c r="B27" s="38">
        <f>SUM(Vorrunde!J24,Vorrunde!H8)</f>
        <v>0</v>
      </c>
      <c r="C27" s="45" t="s">
        <v>35</v>
      </c>
      <c r="D27" s="50">
        <f>SUM(Vorrunde!H24,Vorrunde!J8)</f>
        <v>0</v>
      </c>
      <c r="E27" s="67">
        <f>SUM(B27-D27)</f>
        <v>0</v>
      </c>
      <c r="F27" s="45">
        <f>SUM(Vorrunde!N24,Vorrunde!Q24,Vorrunde!L8,Vorrunde!O8)</f>
        <v>0</v>
      </c>
      <c r="G27" s="45" t="s">
        <v>35</v>
      </c>
      <c r="H27" s="45">
        <f>SUM(Vorrunde!L24,Vorrunde!O24,Vorrunde!N8,Vorrunde!Q8)</f>
        <v>0</v>
      </c>
      <c r="I27" s="197" t="str">
        <f>IF((H27=0),"Quotient",F27/H27)</f>
        <v>Quotient</v>
      </c>
      <c r="J27" s="60">
        <f>RANK(B27,$B$26:$B$28)</f>
        <v>1</v>
      </c>
      <c r="K27" s="189" t="str">
        <f>A27</f>
        <v>Team 2, Gruppe G</v>
      </c>
      <c r="M27" s="34"/>
      <c r="N27" s="81"/>
      <c r="O27" s="81"/>
    </row>
    <row r="28" spans="1:15" ht="12.75">
      <c r="A28" s="42" t="str">
        <f>Anmeldung!F34</f>
        <v>Team 3, Gruppe G</v>
      </c>
      <c r="B28" s="39">
        <f>SUM(Vorrunde!J8,Vorrunde!J16)</f>
        <v>0</v>
      </c>
      <c r="C28" s="47" t="s">
        <v>35</v>
      </c>
      <c r="D28" s="51">
        <f>SUM(Vorrunde!H8,Vorrunde!H16)</f>
        <v>0</v>
      </c>
      <c r="E28" s="68">
        <f>SUM(B28-D28)</f>
        <v>0</v>
      </c>
      <c r="F28" s="47">
        <f>SUM(Vorrunde!N8,Vorrunde!Q8,Vorrunde!N16,Vorrunde!Q16)</f>
        <v>0</v>
      </c>
      <c r="G28" s="47" t="s">
        <v>35</v>
      </c>
      <c r="H28" s="47">
        <f>SUM(,Vorrunde!L8,Vorrunde!O8,Vorrunde!L16,Vorrunde!O16)</f>
        <v>0</v>
      </c>
      <c r="I28" s="198" t="str">
        <f>IF((H28=0),"Quotient",F28/H28)</f>
        <v>Quotient</v>
      </c>
      <c r="J28" s="61">
        <f>RANK(B28,$B$26:$B$28)</f>
        <v>1</v>
      </c>
      <c r="K28" s="189" t="str">
        <f>A28</f>
        <v>Team 3, Gruppe G</v>
      </c>
      <c r="M28" s="34"/>
      <c r="N28" s="81"/>
      <c r="O28" s="81"/>
    </row>
    <row r="29" spans="1:15" ht="12.75">
      <c r="A29" s="41" t="s">
        <v>77</v>
      </c>
      <c r="B29" s="37"/>
      <c r="C29" s="48"/>
      <c r="D29" s="49"/>
      <c r="E29" s="69"/>
      <c r="F29" s="46"/>
      <c r="G29" s="48"/>
      <c r="H29" s="46"/>
      <c r="I29" s="65"/>
      <c r="J29" s="230"/>
      <c r="K29" s="189"/>
      <c r="L29" s="62"/>
      <c r="M29" s="34"/>
      <c r="N29" s="81"/>
      <c r="O29" s="81"/>
    </row>
    <row r="30" spans="1:15" ht="12.75">
      <c r="A30" s="40" t="str">
        <f>Anmeldung!H32</f>
        <v>Team 1, Gruppe H</v>
      </c>
      <c r="B30" s="38">
        <f>SUM(Vorrunde!H25,Vorrunde!H17)</f>
        <v>0</v>
      </c>
      <c r="C30" s="45" t="s">
        <v>35</v>
      </c>
      <c r="D30" s="50">
        <f>SUM(Vorrunde!J25,Vorrunde!J17)</f>
        <v>0</v>
      </c>
      <c r="E30" s="67">
        <f>SUM(B30-D30)</f>
        <v>0</v>
      </c>
      <c r="F30" s="45">
        <f>SUM(Vorrunde!L25,Vorrunde!O25,Vorrunde!L17,Vorrunde!O17)</f>
        <v>0</v>
      </c>
      <c r="G30" s="45" t="s">
        <v>35</v>
      </c>
      <c r="H30" s="45">
        <f>SUM(Vorrunde!N25,Vorrunde!Q25,Vorrunde!N17,Vorrunde!Q17)</f>
        <v>0</v>
      </c>
      <c r="I30" s="63" t="str">
        <f>IF((H30=0),"Quotient",F30/H30)</f>
        <v>Quotient</v>
      </c>
      <c r="J30" s="60">
        <f>RANK(B30,$B$30:$B$32)</f>
        <v>1</v>
      </c>
      <c r="K30" s="189" t="str">
        <f>A30</f>
        <v>Team 1, Gruppe H</v>
      </c>
      <c r="M30" s="187"/>
      <c r="N30" s="172"/>
      <c r="O30" s="81"/>
    </row>
    <row r="31" spans="1:15" s="62" customFormat="1" ht="12.75">
      <c r="A31" s="40" t="str">
        <f>Anmeldung!H33</f>
        <v>Team 2, Gruppe H</v>
      </c>
      <c r="B31" s="38">
        <f>SUM(Vorrunde!J25,Vorrunde!H9)</f>
        <v>0</v>
      </c>
      <c r="C31" s="45" t="s">
        <v>35</v>
      </c>
      <c r="D31" s="50">
        <f>SUM(Vorrunde!H25,Vorrunde!J9)</f>
        <v>0</v>
      </c>
      <c r="E31" s="67">
        <f>SUM(B31-D31)</f>
        <v>0</v>
      </c>
      <c r="F31" s="45">
        <f>SUM(Vorrunde!N25,Vorrunde!Q25,Vorrunde!L9,Vorrunde!O9)</f>
        <v>0</v>
      </c>
      <c r="G31" s="45" t="s">
        <v>35</v>
      </c>
      <c r="H31" s="45">
        <f>SUM(Vorrunde!L25,Vorrunde!O25,Vorrunde!N9,Vorrunde!Q9)</f>
        <v>0</v>
      </c>
      <c r="I31" s="63" t="str">
        <f>IF((H31=0),"Quotient",F31/H31)</f>
        <v>Quotient</v>
      </c>
      <c r="J31" s="60">
        <f>RANK(B31,$B$30:$B$32)</f>
        <v>1</v>
      </c>
      <c r="K31" s="189" t="str">
        <f>A31</f>
        <v>Team 2, Gruppe H</v>
      </c>
      <c r="M31" s="187"/>
      <c r="N31" s="172"/>
      <c r="O31" s="195"/>
    </row>
    <row r="32" spans="1:15" s="62" customFormat="1" ht="12.75">
      <c r="A32" s="42" t="str">
        <f>Anmeldung!H34</f>
        <v>Team 3, Gruppe H</v>
      </c>
      <c r="B32" s="39">
        <f>SUM(Vorrunde!J9,Vorrunde!J17)</f>
        <v>0</v>
      </c>
      <c r="C32" s="47" t="s">
        <v>35</v>
      </c>
      <c r="D32" s="51">
        <f>SUM(Vorrunde!H9,Vorrunde!H17)</f>
        <v>0</v>
      </c>
      <c r="E32" s="68">
        <f>SUM(B32-D32)</f>
        <v>0</v>
      </c>
      <c r="F32" s="47">
        <f>SUM(Vorrunde!N9,Vorrunde!Q9,Vorrunde!N17,Vorrunde!Q17)</f>
        <v>0</v>
      </c>
      <c r="G32" s="47" t="s">
        <v>35</v>
      </c>
      <c r="H32" s="47">
        <f>SUM(Vorrunde!L9,Vorrunde!O25,Vorrunde!L17,Vorrunde!O17)</f>
        <v>0</v>
      </c>
      <c r="I32" s="64" t="str">
        <f>IF((H32=0),"Quotient",F32/H32)</f>
        <v>Quotient</v>
      </c>
      <c r="J32" s="61">
        <f>RANK(B32,$B$30:$B$32)</f>
        <v>1</v>
      </c>
      <c r="K32" s="189" t="str">
        <f>A32</f>
        <v>Team 3, Gruppe H</v>
      </c>
      <c r="M32" s="187"/>
      <c r="N32" s="172"/>
      <c r="O32" s="195"/>
    </row>
    <row r="33" spans="1:15" s="62" customFormat="1" ht="12.75">
      <c r="A33" s="190"/>
      <c r="B33" s="191"/>
      <c r="C33" s="191"/>
      <c r="D33" s="191"/>
      <c r="E33" s="192"/>
      <c r="F33" s="191"/>
      <c r="G33" s="191"/>
      <c r="H33" s="191"/>
      <c r="I33" s="193"/>
      <c r="J33" s="194"/>
      <c r="K33" s="189"/>
      <c r="M33" s="187"/>
      <c r="N33" s="172"/>
      <c r="O33" s="195"/>
    </row>
    <row r="34" spans="1:15" s="62" customFormat="1" ht="12.75">
      <c r="A34" s="202" t="s">
        <v>89</v>
      </c>
      <c r="B34" s="203"/>
      <c r="C34" s="204"/>
      <c r="D34" s="204"/>
      <c r="E34" s="204"/>
      <c r="F34" s="201"/>
      <c r="G34" s="201"/>
      <c r="H34" s="206"/>
      <c r="I34" s="202" t="s">
        <v>92</v>
      </c>
      <c r="J34" s="205"/>
      <c r="K34" s="204"/>
      <c r="L34" s="204"/>
      <c r="M34" s="204"/>
      <c r="N34" s="204"/>
      <c r="O34" s="204"/>
    </row>
    <row r="35" spans="1:15" s="62" customFormat="1" ht="12.75">
      <c r="A35" s="205" t="s">
        <v>90</v>
      </c>
      <c r="B35" s="203"/>
      <c r="C35" s="204"/>
      <c r="D35" s="204"/>
      <c r="E35" s="204"/>
      <c r="F35" s="201"/>
      <c r="G35" s="201"/>
      <c r="H35" s="206"/>
      <c r="I35" s="205" t="s">
        <v>90</v>
      </c>
      <c r="J35" s="205"/>
      <c r="K35" s="204"/>
      <c r="L35" s="204"/>
      <c r="M35" s="204"/>
      <c r="N35" s="204"/>
      <c r="O35" s="204"/>
    </row>
    <row r="36" spans="1:15" s="62" customFormat="1" ht="12.75">
      <c r="A36" s="205"/>
      <c r="B36" s="203"/>
      <c r="C36" s="204"/>
      <c r="D36" s="204"/>
      <c r="E36" s="204"/>
      <c r="F36" s="201"/>
      <c r="G36" s="201"/>
      <c r="H36" s="206"/>
      <c r="I36" s="205"/>
      <c r="J36" s="205"/>
      <c r="K36" s="204"/>
      <c r="L36" s="204"/>
      <c r="M36" s="204"/>
      <c r="N36" s="204"/>
      <c r="O36" s="204"/>
    </row>
    <row r="37" spans="1:15" s="62" customFormat="1" ht="12.75">
      <c r="A37" s="202" t="s">
        <v>91</v>
      </c>
      <c r="B37" s="203"/>
      <c r="C37" s="204"/>
      <c r="D37" s="204"/>
      <c r="E37" s="204"/>
      <c r="F37" s="201"/>
      <c r="G37" s="201"/>
      <c r="H37" s="206"/>
      <c r="I37" s="205" t="s">
        <v>86</v>
      </c>
      <c r="J37" s="205"/>
      <c r="K37" s="204"/>
      <c r="L37" s="204"/>
      <c r="M37" s="204"/>
      <c r="N37" s="204"/>
      <c r="O37" s="204"/>
    </row>
    <row r="38" spans="1:15" s="62" customFormat="1" ht="12.75">
      <c r="A38" s="205"/>
      <c r="B38" s="203"/>
      <c r="C38" s="204"/>
      <c r="D38" s="204"/>
      <c r="E38" s="204"/>
      <c r="F38" s="201"/>
      <c r="G38" s="201"/>
      <c r="H38" s="206"/>
      <c r="I38" s="205" t="s">
        <v>87</v>
      </c>
      <c r="J38" s="205"/>
      <c r="K38" s="204"/>
      <c r="L38" s="204"/>
      <c r="M38" s="204"/>
      <c r="N38" s="204"/>
      <c r="O38" s="204"/>
    </row>
    <row r="39" spans="1:15" s="62" customFormat="1" ht="12.75">
      <c r="A39" s="205"/>
      <c r="B39" s="203"/>
      <c r="C39" s="204"/>
      <c r="D39" s="204"/>
      <c r="E39" s="204"/>
      <c r="F39" s="201"/>
      <c r="G39" s="201"/>
      <c r="H39" s="191"/>
      <c r="I39" s="205" t="s">
        <v>88</v>
      </c>
      <c r="J39" s="205"/>
      <c r="K39" s="204"/>
      <c r="L39" s="204"/>
      <c r="M39" s="204"/>
      <c r="N39" s="204"/>
      <c r="O39" s="204"/>
    </row>
    <row r="40" spans="1:15" s="62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189"/>
      <c r="M40" s="187"/>
      <c r="N40" s="172"/>
      <c r="O40" s="195"/>
    </row>
    <row r="41" spans="1:15" s="62" customFormat="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189"/>
      <c r="M41" s="187"/>
      <c r="N41" s="172"/>
      <c r="O41" s="195"/>
    </row>
    <row r="42" spans="13:15" ht="12.75">
      <c r="M42" s="34"/>
      <c r="N42" s="81"/>
      <c r="O42" s="81"/>
    </row>
    <row r="43" spans="13:15" ht="12.75">
      <c r="M43" s="34"/>
      <c r="N43" s="81"/>
      <c r="O43" s="81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 verticalCentered="1"/>
  <pageMargins left="0.1968503937007874" right="0.1968503937007874" top="0.984251968503937" bottom="0.15748031496062992" header="0.5118110236220472" footer="0.5118110236220472"/>
  <pageSetup horizontalDpi="600" verticalDpi="600" orientation="portrait" paperSize="9" scale="11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3" width="4.7109375" style="143" customWidth="1"/>
    <col min="4" max="4" width="7.140625" style="143" bestFit="1" customWidth="1"/>
    <col min="5" max="5" width="29.421875" style="143" customWidth="1"/>
    <col min="6" max="6" width="3.57421875" style="143" customWidth="1"/>
    <col min="7" max="7" width="29.421875" style="143" customWidth="1"/>
    <col min="8" max="10" width="3.8515625" style="143" customWidth="1"/>
    <col min="11" max="11" width="6.140625" style="143" customWidth="1"/>
    <col min="12" max="20" width="3.8515625" style="143" customWidth="1"/>
    <col min="21" max="16384" width="9.140625" style="123" customWidth="1"/>
  </cols>
  <sheetData>
    <row r="1" spans="1:22" ht="64.5" customHeight="1">
      <c r="A1" s="115" t="s">
        <v>8</v>
      </c>
      <c r="B1" s="116" t="s">
        <v>9</v>
      </c>
      <c r="C1" s="116" t="s">
        <v>10</v>
      </c>
      <c r="D1" s="116" t="s">
        <v>48</v>
      </c>
      <c r="E1" s="117" t="s">
        <v>11</v>
      </c>
      <c r="F1" s="117" t="s">
        <v>12</v>
      </c>
      <c r="G1" s="117" t="s">
        <v>13</v>
      </c>
      <c r="H1" s="118" t="s">
        <v>57</v>
      </c>
      <c r="I1" s="118"/>
      <c r="J1" s="118"/>
      <c r="K1" s="119" t="s">
        <v>58</v>
      </c>
      <c r="L1" s="120" t="s">
        <v>59</v>
      </c>
      <c r="M1" s="121"/>
      <c r="N1" s="121"/>
      <c r="O1" s="121" t="s">
        <v>60</v>
      </c>
      <c r="P1" s="121"/>
      <c r="Q1" s="121"/>
      <c r="R1" s="121" t="s">
        <v>61</v>
      </c>
      <c r="S1" s="121"/>
      <c r="T1" s="121"/>
      <c r="U1" s="122" t="s">
        <v>62</v>
      </c>
      <c r="V1" s="122" t="s">
        <v>63</v>
      </c>
    </row>
    <row r="2" spans="1:24" ht="18" customHeight="1">
      <c r="A2" s="94">
        <v>25</v>
      </c>
      <c r="B2" s="10" t="s">
        <v>16</v>
      </c>
      <c r="C2" s="96"/>
      <c r="D2" s="97"/>
      <c r="E2" s="56" t="str">
        <f>IF(RankSeed!$N$18="Team 3, Gruppe E",CONCATENATE("Seed #17"),RankSeed!$N$18)</f>
        <v>Team 3, Gruppe B</v>
      </c>
      <c r="F2" s="56" t="s">
        <v>12</v>
      </c>
      <c r="G2" s="56" t="str">
        <f>IF(RankSeed!$N$17="Team 3, Gruppe D",CONCATENATE("Seed #16"),RankSeed!$N$17)</f>
        <v>Team 2, Gruppe D</v>
      </c>
      <c r="H2" s="124">
        <f aca="true" t="shared" si="0" ref="H2:H31">IF(L2=N2,"",SUM(IF(L2&gt;N2,1,0),IF(O2&gt;Q2,1,0),IF(R2&lt;=T2,0,1)))</f>
      </c>
      <c r="I2" s="56" t="s">
        <v>17</v>
      </c>
      <c r="J2" s="124">
        <f aca="true" t="shared" si="1" ref="J2:J31">IF(L2=N2,"",SUM(IF(L2&lt;N2,1,0),IF(O2&lt;Q2,1,0),IF(R2&gt;=T2,0,1)))</f>
      </c>
      <c r="K2" s="125">
        <f aca="true" t="shared" si="2" ref="K2:K31">SUM(V2-U2)</f>
        <v>0</v>
      </c>
      <c r="L2" s="126"/>
      <c r="M2" s="56" t="s">
        <v>17</v>
      </c>
      <c r="N2" s="70"/>
      <c r="O2" s="70"/>
      <c r="P2" s="56" t="s">
        <v>17</v>
      </c>
      <c r="Q2" s="70"/>
      <c r="R2" s="96"/>
      <c r="S2" s="56" t="s">
        <v>17</v>
      </c>
      <c r="T2" s="96"/>
      <c r="U2" s="127"/>
      <c r="V2" s="127"/>
      <c r="W2" s="128"/>
      <c r="X2" s="128"/>
    </row>
    <row r="3" spans="1:24" ht="18" customHeight="1">
      <c r="A3" s="94">
        <v>26</v>
      </c>
      <c r="B3" s="10" t="s">
        <v>16</v>
      </c>
      <c r="C3" s="96"/>
      <c r="D3" s="97"/>
      <c r="E3" s="56" t="str">
        <f>IF(RankSeed!$N$10="Team 2, Gruppe D",CONCATENATE("Seed #",RankSeed!$M$10),RankSeed!$N$10)</f>
        <v>Team 2, Gruppe E</v>
      </c>
      <c r="F3" s="56" t="s">
        <v>12</v>
      </c>
      <c r="G3" s="56" t="str">
        <f>IF(RankSeed!$N$25="Team 4, Gruppe F",CONCATENATE("Seed #",RankSeed!$M$25),RankSeed!$N$25)</f>
        <v>Team 3, Gruppe G</v>
      </c>
      <c r="H3" s="124">
        <f t="shared" si="0"/>
      </c>
      <c r="I3" s="56" t="s">
        <v>17</v>
      </c>
      <c r="J3" s="124">
        <f t="shared" si="1"/>
      </c>
      <c r="K3" s="125">
        <f t="shared" si="2"/>
        <v>0</v>
      </c>
      <c r="L3" s="126"/>
      <c r="M3" s="56" t="s">
        <v>17</v>
      </c>
      <c r="N3" s="70"/>
      <c r="O3" s="70"/>
      <c r="P3" s="56" t="s">
        <v>17</v>
      </c>
      <c r="Q3" s="70"/>
      <c r="R3" s="96"/>
      <c r="S3" s="56" t="s">
        <v>17</v>
      </c>
      <c r="T3" s="96"/>
      <c r="U3" s="127"/>
      <c r="V3" s="127"/>
      <c r="W3" s="128"/>
      <c r="X3" s="128"/>
    </row>
    <row r="4" spans="1:24" ht="18" customHeight="1">
      <c r="A4" s="94">
        <v>27</v>
      </c>
      <c r="B4" s="10" t="s">
        <v>16</v>
      </c>
      <c r="C4" s="96"/>
      <c r="D4" s="97"/>
      <c r="E4" s="56" t="str">
        <f>IF(RankSeed!$N$22="Team 4, Gruppe C",CONCATENATE("Seed #",RankSeed!$M$22),RankSeed!$N$22)</f>
        <v>Team 3, Gruppe F</v>
      </c>
      <c r="F4" s="56" t="s">
        <v>12</v>
      </c>
      <c r="G4" s="56" t="str">
        <f>IF(RankSeed!$N$13="Team 2, Gruppe A",CONCATENATE("Seed #",RankSeed!$M$13),RankSeed!$N$13)</f>
        <v>Team 2, Gruppe H</v>
      </c>
      <c r="H4" s="124">
        <f t="shared" si="0"/>
      </c>
      <c r="I4" s="56" t="s">
        <v>17</v>
      </c>
      <c r="J4" s="124">
        <f t="shared" si="1"/>
      </c>
      <c r="K4" s="125">
        <f t="shared" si="2"/>
        <v>0</v>
      </c>
      <c r="L4" s="126"/>
      <c r="M4" s="56" t="s">
        <v>17</v>
      </c>
      <c r="N4" s="70"/>
      <c r="O4" s="70"/>
      <c r="P4" s="56" t="s">
        <v>17</v>
      </c>
      <c r="Q4" s="70"/>
      <c r="R4" s="96"/>
      <c r="S4" s="56" t="s">
        <v>17</v>
      </c>
      <c r="T4" s="96"/>
      <c r="U4" s="127"/>
      <c r="V4" s="127"/>
      <c r="W4" s="128"/>
      <c r="X4" s="128"/>
    </row>
    <row r="5" spans="1:24" ht="18" customHeight="1">
      <c r="A5" s="94">
        <v>28</v>
      </c>
      <c r="B5" s="10" t="s">
        <v>16</v>
      </c>
      <c r="C5" s="96"/>
      <c r="D5" s="97"/>
      <c r="E5" s="56" t="str">
        <f>IF(RankSeed!$N$14="Team 3, Gruppe A",CONCATENATE("Seed #13"),RankSeed!$N$14)</f>
        <v>Team 2, Gruppe A</v>
      </c>
      <c r="F5" s="56" t="s">
        <v>12</v>
      </c>
      <c r="G5" s="56" t="str">
        <f>IF(RankSeed!$N$21="Team 4, Gruppe B",CONCATENATE("Seed #",RankSeed!$M$21),RankSeed!$N$21)</f>
        <v>Team 3, Gruppe C</v>
      </c>
      <c r="H5" s="124">
        <f t="shared" si="0"/>
      </c>
      <c r="I5" s="56" t="s">
        <v>17</v>
      </c>
      <c r="J5" s="124">
        <f t="shared" si="1"/>
      </c>
      <c r="K5" s="125">
        <f t="shared" si="2"/>
        <v>0</v>
      </c>
      <c r="L5" s="126"/>
      <c r="M5" s="56" t="s">
        <v>17</v>
      </c>
      <c r="N5" s="70"/>
      <c r="O5" s="70"/>
      <c r="P5" s="56" t="s">
        <v>17</v>
      </c>
      <c r="Q5" s="70"/>
      <c r="R5" s="96"/>
      <c r="S5" s="56" t="s">
        <v>17</v>
      </c>
      <c r="T5" s="96"/>
      <c r="U5" s="127"/>
      <c r="V5" s="127"/>
      <c r="W5" s="128"/>
      <c r="X5" s="128"/>
    </row>
    <row r="6" spans="1:24" ht="18" customHeight="1">
      <c r="A6" s="94">
        <v>29</v>
      </c>
      <c r="B6" s="10" t="s">
        <v>16</v>
      </c>
      <c r="C6" s="96"/>
      <c r="D6" s="97"/>
      <c r="E6" s="56" t="str">
        <f>IF(RankSeed!$N$20="Team 4, Gruppe A",CONCATENATE("Seed #",RankSeed!$M$20),RankSeed!$N$20)</f>
        <v>Team 3, Gruppe D</v>
      </c>
      <c r="F6" s="56" t="s">
        <v>12</v>
      </c>
      <c r="G6" s="56" t="str">
        <f>IF(RankSeed!$N$15="Team 3, Gruppe B",CONCATENATE("Seed #14"),RankSeed!$N$15)</f>
        <v>Team 2, Gruppe B</v>
      </c>
      <c r="H6" s="124">
        <f t="shared" si="0"/>
      </c>
      <c r="I6" s="56" t="s">
        <v>17</v>
      </c>
      <c r="J6" s="124">
        <f t="shared" si="1"/>
      </c>
      <c r="K6" s="125">
        <f t="shared" si="2"/>
        <v>0</v>
      </c>
      <c r="L6" s="126"/>
      <c r="M6" s="56" t="s">
        <v>17</v>
      </c>
      <c r="N6" s="70"/>
      <c r="O6" s="70"/>
      <c r="P6" s="56" t="s">
        <v>17</v>
      </c>
      <c r="Q6" s="70"/>
      <c r="R6" s="96"/>
      <c r="S6" s="56" t="s">
        <v>17</v>
      </c>
      <c r="T6" s="96"/>
      <c r="U6" s="127"/>
      <c r="V6" s="127"/>
      <c r="W6" s="128"/>
      <c r="X6" s="128"/>
    </row>
    <row r="7" spans="1:24" ht="18" customHeight="1">
      <c r="A7" s="94">
        <v>30</v>
      </c>
      <c r="B7" s="10" t="s">
        <v>16</v>
      </c>
      <c r="C7" s="96"/>
      <c r="D7" s="97"/>
      <c r="E7" s="56" t="str">
        <f>IF(RankSeed!$N$12="Team 2, Gruppe B",CONCATENATE("Seed #",RankSeed!$M$12),RankSeed!$N$12)</f>
        <v>Team 2, Gruppe G</v>
      </c>
      <c r="F7" s="56" t="s">
        <v>12</v>
      </c>
      <c r="G7" s="56" t="str">
        <f>IF(RankSeed!$N$23="Team 4, Gruppe D",CONCATENATE("Seed #",RankSeed!$M$23),RankSeed!$N$23)</f>
        <v>Team 3, Gruppe E</v>
      </c>
      <c r="H7" s="124">
        <f t="shared" si="0"/>
      </c>
      <c r="I7" s="56" t="s">
        <v>17</v>
      </c>
      <c r="J7" s="124">
        <f t="shared" si="1"/>
      </c>
      <c r="K7" s="125">
        <f t="shared" si="2"/>
        <v>0</v>
      </c>
      <c r="L7" s="126"/>
      <c r="M7" s="56" t="s">
        <v>17</v>
      </c>
      <c r="N7" s="70"/>
      <c r="O7" s="70"/>
      <c r="P7" s="56" t="s">
        <v>17</v>
      </c>
      <c r="Q7" s="70"/>
      <c r="R7" s="96"/>
      <c r="S7" s="56" t="s">
        <v>17</v>
      </c>
      <c r="T7" s="96"/>
      <c r="U7" s="127"/>
      <c r="V7" s="127"/>
      <c r="W7" s="128"/>
      <c r="X7" s="128"/>
    </row>
    <row r="8" spans="1:24" ht="18" customHeight="1">
      <c r="A8" s="94">
        <v>31</v>
      </c>
      <c r="B8" s="10" t="s">
        <v>16</v>
      </c>
      <c r="C8" s="96"/>
      <c r="D8" s="97"/>
      <c r="E8" s="56" t="str">
        <f>IF(RankSeed!$N$24="Team 4, Gruppe E",CONCATENATE("Seed #",RankSeed!$M$24),RankSeed!$N$24)</f>
        <v>Team 3, Gruppe H</v>
      </c>
      <c r="F8" s="56" t="s">
        <v>12</v>
      </c>
      <c r="G8" s="56" t="str">
        <f>IF(RankSeed!$N$11="Team 2, Gruppe C",CONCATENATE("Seed #",RankSeed!$M$11),RankSeed!$N$11)</f>
        <v>Team 2, Gruppe F</v>
      </c>
      <c r="H8" s="124">
        <f t="shared" si="0"/>
      </c>
      <c r="I8" s="56" t="s">
        <v>17</v>
      </c>
      <c r="J8" s="124">
        <f t="shared" si="1"/>
      </c>
      <c r="K8" s="125">
        <f t="shared" si="2"/>
        <v>0</v>
      </c>
      <c r="L8" s="126"/>
      <c r="M8" s="56" t="s">
        <v>17</v>
      </c>
      <c r="N8" s="70"/>
      <c r="O8" s="70"/>
      <c r="P8" s="56" t="s">
        <v>17</v>
      </c>
      <c r="Q8" s="70"/>
      <c r="R8" s="96"/>
      <c r="S8" s="56" t="s">
        <v>17</v>
      </c>
      <c r="T8" s="96"/>
      <c r="U8" s="127"/>
      <c r="V8" s="127"/>
      <c r="W8" s="128"/>
      <c r="X8" s="128"/>
    </row>
    <row r="9" spans="1:24" ht="18" customHeight="1" thickBot="1">
      <c r="A9" s="95">
        <v>32</v>
      </c>
      <c r="B9" s="19" t="s">
        <v>16</v>
      </c>
      <c r="C9" s="98"/>
      <c r="D9" s="99"/>
      <c r="E9" s="129" t="str">
        <f>IF(RankSeed!$N$16="Team 3, Gruppe C",CONCATENATE("Seed #15"),RankSeed!$N$16)</f>
        <v>Team 2, Gruppe C</v>
      </c>
      <c r="F9" s="129" t="s">
        <v>12</v>
      </c>
      <c r="G9" s="129" t="str">
        <f>IF(RankSeed!$N$19="Team 3, Gruppe F",CONCATENATE("Seed #",RankSeed!$M$19),RankSeed!$N$19)</f>
        <v>Team 3, Gruppe A</v>
      </c>
      <c r="H9" s="130">
        <f t="shared" si="0"/>
      </c>
      <c r="I9" s="129" t="s">
        <v>17</v>
      </c>
      <c r="J9" s="130">
        <f t="shared" si="1"/>
      </c>
      <c r="K9" s="131">
        <f t="shared" si="2"/>
        <v>0</v>
      </c>
      <c r="L9" s="132"/>
      <c r="M9" s="129" t="s">
        <v>17</v>
      </c>
      <c r="N9" s="71"/>
      <c r="O9" s="71"/>
      <c r="P9" s="129" t="s">
        <v>17</v>
      </c>
      <c r="Q9" s="71"/>
      <c r="R9" s="98"/>
      <c r="S9" s="129" t="s">
        <v>17</v>
      </c>
      <c r="T9" s="98"/>
      <c r="U9" s="133"/>
      <c r="V9" s="133"/>
      <c r="W9" s="128"/>
      <c r="X9" s="128"/>
    </row>
    <row r="10" spans="1:24" ht="18" customHeight="1">
      <c r="A10" s="185">
        <v>33</v>
      </c>
      <c r="B10" s="35" t="s">
        <v>18</v>
      </c>
      <c r="C10" s="134"/>
      <c r="D10" s="135"/>
      <c r="E10" s="84" t="str">
        <f>IF(RankSeed!$N$2="Team 1, Gruppe A1",CONCATENATE("Seed #",RankSeed!$M$2),RankSeed!$N$2)</f>
        <v>Team 1, Gruppe A</v>
      </c>
      <c r="F10" s="84" t="s">
        <v>12</v>
      </c>
      <c r="G10" s="84" t="str">
        <f>IF($H$2=$J$2,CONCATENATE("Winner Match #",$A$2),IF($H$2&gt;$J$2,$E$2,$G$2))</f>
        <v>Winner Match #25</v>
      </c>
      <c r="H10" s="136">
        <f t="shared" si="0"/>
      </c>
      <c r="I10" s="84" t="s">
        <v>17</v>
      </c>
      <c r="J10" s="136">
        <f t="shared" si="1"/>
      </c>
      <c r="K10" s="137">
        <f t="shared" si="2"/>
        <v>0</v>
      </c>
      <c r="L10" s="138"/>
      <c r="M10" s="84" t="s">
        <v>17</v>
      </c>
      <c r="N10" s="72"/>
      <c r="O10" s="72"/>
      <c r="P10" s="84" t="s">
        <v>17</v>
      </c>
      <c r="Q10" s="72"/>
      <c r="R10" s="134"/>
      <c r="S10" s="84" t="s">
        <v>17</v>
      </c>
      <c r="T10" s="134"/>
      <c r="U10" s="139"/>
      <c r="V10" s="139"/>
      <c r="W10" s="128"/>
      <c r="X10" s="128"/>
    </row>
    <row r="11" spans="1:24" s="141" customFormat="1" ht="18" customHeight="1">
      <c r="A11" s="94">
        <v>34</v>
      </c>
      <c r="B11" s="10" t="s">
        <v>18</v>
      </c>
      <c r="C11" s="96"/>
      <c r="D11" s="97"/>
      <c r="E11" s="56" t="str">
        <f>IF($H$3=$J$3,CONCATENATE("Winner Match #",$A$3),IF($H$3&gt;$J$3,$E$3,$G$3))</f>
        <v>Winner Match #26</v>
      </c>
      <c r="F11" s="56" t="s">
        <v>12</v>
      </c>
      <c r="G11" s="56" t="str">
        <f>IF(RankSeed!$N$9="Team 2, Gruppe E",CONCATENATE("Seed #",RankSeed!$M$9),RankSeed!$N$9)</f>
        <v>Team 1, Gruppe H</v>
      </c>
      <c r="H11" s="124">
        <f t="shared" si="0"/>
      </c>
      <c r="I11" s="56" t="s">
        <v>17</v>
      </c>
      <c r="J11" s="124">
        <f t="shared" si="1"/>
      </c>
      <c r="K11" s="125">
        <f t="shared" si="2"/>
        <v>0</v>
      </c>
      <c r="L11" s="126"/>
      <c r="M11" s="56" t="s">
        <v>17</v>
      </c>
      <c r="N11" s="70"/>
      <c r="O11" s="70"/>
      <c r="P11" s="56" t="s">
        <v>17</v>
      </c>
      <c r="Q11" s="70"/>
      <c r="R11" s="96"/>
      <c r="S11" s="56" t="s">
        <v>17</v>
      </c>
      <c r="T11" s="96"/>
      <c r="U11" s="127"/>
      <c r="V11" s="127"/>
      <c r="W11" s="140"/>
      <c r="X11" s="140"/>
    </row>
    <row r="12" spans="1:24" s="141" customFormat="1" ht="18" customHeight="1">
      <c r="A12" s="94">
        <v>35</v>
      </c>
      <c r="B12" s="10" t="s">
        <v>18</v>
      </c>
      <c r="C12" s="96"/>
      <c r="D12" s="97"/>
      <c r="E12" s="56" t="str">
        <f>IF(RankSeed!$N$6="Team 1, Gruppe E1",CONCATENATE("Seed #",RankSeed!$M$6),RankSeed!$N$6)</f>
        <v>Team 1, Gruppe E</v>
      </c>
      <c r="F12" s="56" t="s">
        <v>12</v>
      </c>
      <c r="G12" s="56" t="str">
        <f>IF($H$4=$J$4,CONCATENATE("Winner Match #",$A$4),IF($H$4&gt;$J$4,$E$4,$G$4))</f>
        <v>Winner Match #27</v>
      </c>
      <c r="H12" s="124">
        <f t="shared" si="0"/>
      </c>
      <c r="I12" s="56" t="s">
        <v>17</v>
      </c>
      <c r="J12" s="124">
        <f t="shared" si="1"/>
      </c>
      <c r="K12" s="125">
        <f t="shared" si="2"/>
        <v>0</v>
      </c>
      <c r="L12" s="126"/>
      <c r="M12" s="56" t="s">
        <v>17</v>
      </c>
      <c r="N12" s="70"/>
      <c r="O12" s="70"/>
      <c r="P12" s="56" t="s">
        <v>17</v>
      </c>
      <c r="Q12" s="70"/>
      <c r="R12" s="96"/>
      <c r="S12" s="56" t="s">
        <v>17</v>
      </c>
      <c r="T12" s="96"/>
      <c r="U12" s="127"/>
      <c r="V12" s="127"/>
      <c r="W12" s="140"/>
      <c r="X12" s="140"/>
    </row>
    <row r="13" spans="1:24" s="141" customFormat="1" ht="18" customHeight="1">
      <c r="A13" s="94">
        <v>36</v>
      </c>
      <c r="B13" s="10" t="s">
        <v>18</v>
      </c>
      <c r="C13" s="96"/>
      <c r="D13" s="97"/>
      <c r="E13" s="56" t="str">
        <f>IF($H$5=$J$5,CONCATENATE("Winner Match #",$A$5),IF($H$5&gt;$J$5,$E$5,$G$5))</f>
        <v>Winner Match #28</v>
      </c>
      <c r="F13" s="56" t="s">
        <v>12</v>
      </c>
      <c r="G13" s="56" t="str">
        <f>IF(RankSeed!$N$5="Team 1, Gruppe D1",CONCATENATE("Seed #",RankSeed!$M$5),RankSeed!$N$5)</f>
        <v>Team 1, Gruppe D</v>
      </c>
      <c r="H13" s="124">
        <f t="shared" si="0"/>
      </c>
      <c r="I13" s="56" t="s">
        <v>17</v>
      </c>
      <c r="J13" s="124">
        <f t="shared" si="1"/>
      </c>
      <c r="K13" s="125">
        <f t="shared" si="2"/>
        <v>0</v>
      </c>
      <c r="L13" s="126"/>
      <c r="M13" s="56" t="s">
        <v>17</v>
      </c>
      <c r="N13" s="70"/>
      <c r="O13" s="70"/>
      <c r="P13" s="56" t="s">
        <v>17</v>
      </c>
      <c r="Q13" s="70"/>
      <c r="R13" s="96"/>
      <c r="S13" s="56" t="s">
        <v>17</v>
      </c>
      <c r="T13" s="96"/>
      <c r="U13" s="127"/>
      <c r="V13" s="127"/>
      <c r="W13" s="140"/>
      <c r="X13" s="140"/>
    </row>
    <row r="14" spans="1:24" s="141" customFormat="1" ht="18" customHeight="1">
      <c r="A14" s="185">
        <v>37</v>
      </c>
      <c r="B14" s="35" t="s">
        <v>18</v>
      </c>
      <c r="C14" s="134"/>
      <c r="D14" s="135"/>
      <c r="E14" s="84" t="str">
        <f>IF(RankSeed!$N$4="Team 1, Gruppe C1",CONCATENATE("Seed #",RankSeed!$M$4),RankSeed!$N$4)</f>
        <v>Team 1, Gruppe C</v>
      </c>
      <c r="F14" s="84" t="s">
        <v>12</v>
      </c>
      <c r="G14" s="84" t="str">
        <f>IF($H$6=$J$6,CONCATENATE("Winner Match #",$A$6),IF($H$6&gt;$J$6,$E$6,$G$6))</f>
        <v>Winner Match #29</v>
      </c>
      <c r="H14" s="136">
        <f t="shared" si="0"/>
      </c>
      <c r="I14" s="84" t="s">
        <v>17</v>
      </c>
      <c r="J14" s="136">
        <f t="shared" si="1"/>
      </c>
      <c r="K14" s="137">
        <f t="shared" si="2"/>
        <v>0</v>
      </c>
      <c r="L14" s="138"/>
      <c r="M14" s="84" t="s">
        <v>17</v>
      </c>
      <c r="N14" s="72"/>
      <c r="O14" s="72"/>
      <c r="P14" s="84" t="s">
        <v>17</v>
      </c>
      <c r="Q14" s="72"/>
      <c r="R14" s="134"/>
      <c r="S14" s="84" t="s">
        <v>17</v>
      </c>
      <c r="T14" s="134"/>
      <c r="U14" s="139"/>
      <c r="V14" s="139"/>
      <c r="W14" s="128"/>
      <c r="X14" s="140"/>
    </row>
    <row r="15" spans="1:24" ht="18" customHeight="1">
      <c r="A15" s="94">
        <v>38</v>
      </c>
      <c r="B15" s="10" t="s">
        <v>18</v>
      </c>
      <c r="C15" s="96"/>
      <c r="D15" s="97"/>
      <c r="E15" s="56" t="str">
        <f>IF($H$7=$J$7,CONCATENATE("Winner Match #",$A$7),IF($H$7&gt;$J$7,$E$7,$G$7))</f>
        <v>Winner Match #30</v>
      </c>
      <c r="F15" s="56" t="s">
        <v>12</v>
      </c>
      <c r="G15" s="56" t="str">
        <f>IF(RankSeed!$N$7="Team 1, Gruppe F1",CONCATENATE("Seed #",RankSeed!$M$7),RankSeed!$N$7)</f>
        <v>Team 1, Gruppe F</v>
      </c>
      <c r="H15" s="124">
        <f t="shared" si="0"/>
      </c>
      <c r="I15" s="56" t="s">
        <v>17</v>
      </c>
      <c r="J15" s="124">
        <f t="shared" si="1"/>
      </c>
      <c r="K15" s="125">
        <f t="shared" si="2"/>
        <v>0</v>
      </c>
      <c r="L15" s="126"/>
      <c r="M15" s="56" t="s">
        <v>17</v>
      </c>
      <c r="N15" s="70"/>
      <c r="O15" s="70"/>
      <c r="P15" s="56" t="s">
        <v>17</v>
      </c>
      <c r="Q15" s="70"/>
      <c r="R15" s="96"/>
      <c r="S15" s="56" t="s">
        <v>17</v>
      </c>
      <c r="T15" s="96"/>
      <c r="U15" s="127"/>
      <c r="V15" s="127"/>
      <c r="W15" s="128"/>
      <c r="X15" s="128"/>
    </row>
    <row r="16" spans="1:24" ht="18" customHeight="1">
      <c r="A16" s="94">
        <v>39</v>
      </c>
      <c r="B16" s="10" t="s">
        <v>18</v>
      </c>
      <c r="C16" s="96"/>
      <c r="D16" s="97"/>
      <c r="E16" s="56" t="str">
        <f>IF(RankSeed!$N$8="Team 2, Gruppe F",CONCATENATE("Seed #",RankSeed!$M$8),RankSeed!$N$8)</f>
        <v>Team 1, Gruppe G</v>
      </c>
      <c r="F16" s="56" t="s">
        <v>12</v>
      </c>
      <c r="G16" s="56" t="str">
        <f>IF($H$8=$J$8,CONCATENATE("Winner Match #",$A$8),IF($H$8&gt;$J$8,$E$8,$G$8))</f>
        <v>Winner Match #31</v>
      </c>
      <c r="H16" s="124">
        <f t="shared" si="0"/>
      </c>
      <c r="I16" s="56" t="s">
        <v>17</v>
      </c>
      <c r="J16" s="124">
        <f t="shared" si="1"/>
      </c>
      <c r="K16" s="125">
        <f t="shared" si="2"/>
        <v>0</v>
      </c>
      <c r="L16" s="126"/>
      <c r="M16" s="56" t="s">
        <v>17</v>
      </c>
      <c r="N16" s="70"/>
      <c r="O16" s="70"/>
      <c r="P16" s="56" t="s">
        <v>17</v>
      </c>
      <c r="Q16" s="70"/>
      <c r="R16" s="96"/>
      <c r="S16" s="56" t="s">
        <v>17</v>
      </c>
      <c r="T16" s="96"/>
      <c r="U16" s="127"/>
      <c r="V16" s="127"/>
      <c r="W16" s="128"/>
      <c r="X16" s="128"/>
    </row>
    <row r="17" spans="1:24" ht="18" customHeight="1" thickBot="1">
      <c r="A17" s="95">
        <v>40</v>
      </c>
      <c r="B17" s="19" t="s">
        <v>18</v>
      </c>
      <c r="C17" s="98"/>
      <c r="D17" s="99"/>
      <c r="E17" s="129" t="str">
        <f>IF($H$9=$J$9,CONCATENATE("Winner Match #",$A$9),IF($H$9&gt;$J$9,$E$9,$G$9))</f>
        <v>Winner Match #32</v>
      </c>
      <c r="F17" s="129" t="s">
        <v>12</v>
      </c>
      <c r="G17" s="129" t="str">
        <f>IF(RankSeed!$N$3="Team 1, Gruppe B1",CONCATENATE("Seed #",RankSeed!$M$3),RankSeed!$N$3)</f>
        <v>Team 1, Gruppe B</v>
      </c>
      <c r="H17" s="130">
        <f t="shared" si="0"/>
      </c>
      <c r="I17" s="129" t="s">
        <v>17</v>
      </c>
      <c r="J17" s="130">
        <f t="shared" si="1"/>
      </c>
      <c r="K17" s="131">
        <f t="shared" si="2"/>
        <v>0</v>
      </c>
      <c r="L17" s="132"/>
      <c r="M17" s="129" t="s">
        <v>17</v>
      </c>
      <c r="N17" s="71"/>
      <c r="O17" s="71"/>
      <c r="P17" s="129" t="s">
        <v>17</v>
      </c>
      <c r="Q17" s="71"/>
      <c r="R17" s="98"/>
      <c r="S17" s="129" t="s">
        <v>17</v>
      </c>
      <c r="T17" s="98"/>
      <c r="U17" s="133"/>
      <c r="V17" s="133"/>
      <c r="W17" s="128"/>
      <c r="X17" s="128"/>
    </row>
    <row r="18" spans="1:24" ht="18" customHeight="1">
      <c r="A18" s="185">
        <v>41</v>
      </c>
      <c r="B18" s="35" t="s">
        <v>64</v>
      </c>
      <c r="C18" s="134"/>
      <c r="D18" s="135"/>
      <c r="E18" s="84" t="str">
        <f>IF($H$10=$J$10,CONCATENATE("Winner Match #",$A$10),IF($H$10&gt;$J$10,$E$10,$G$10))</f>
        <v>Winner Match #33</v>
      </c>
      <c r="F18" s="84" t="s">
        <v>12</v>
      </c>
      <c r="G18" s="84" t="str">
        <f>IF($H$11=$J$11,CONCATENATE("Winner Match #",$A$11),IF($H$11&gt;$J$11,$E$11,$G$11))</f>
        <v>Winner Match #34</v>
      </c>
      <c r="H18" s="136">
        <f t="shared" si="0"/>
      </c>
      <c r="I18" s="84" t="s">
        <v>17</v>
      </c>
      <c r="J18" s="136">
        <f t="shared" si="1"/>
      </c>
      <c r="K18" s="137">
        <f t="shared" si="2"/>
        <v>0</v>
      </c>
      <c r="L18" s="138"/>
      <c r="M18" s="84" t="s">
        <v>17</v>
      </c>
      <c r="N18" s="72"/>
      <c r="O18" s="72"/>
      <c r="P18" s="84" t="s">
        <v>17</v>
      </c>
      <c r="Q18" s="72"/>
      <c r="R18" s="134"/>
      <c r="S18" s="84" t="s">
        <v>17</v>
      </c>
      <c r="T18" s="134"/>
      <c r="U18" s="139"/>
      <c r="V18" s="139"/>
      <c r="W18" s="128"/>
      <c r="X18" s="128"/>
    </row>
    <row r="19" spans="1:24" ht="18" customHeight="1">
      <c r="A19" s="94">
        <v>42</v>
      </c>
      <c r="B19" s="10" t="s">
        <v>64</v>
      </c>
      <c r="C19" s="96"/>
      <c r="D19" s="97"/>
      <c r="E19" s="56" t="str">
        <f>IF($H$12=$J$12,CONCATENATE("Winner Match #",$A$12),IF($H$12&gt;$J$12,$E$12,$G$12))</f>
        <v>Winner Match #35</v>
      </c>
      <c r="F19" s="56" t="s">
        <v>12</v>
      </c>
      <c r="G19" s="56" t="str">
        <f>IF($H$13=$J$13,CONCATENATE("Winner Match #",$A$13),IF($H$13&gt;$J$13,$E$13,$G$13))</f>
        <v>Winner Match #36</v>
      </c>
      <c r="H19" s="124">
        <f t="shared" si="0"/>
      </c>
      <c r="I19" s="56" t="s">
        <v>17</v>
      </c>
      <c r="J19" s="124">
        <f t="shared" si="1"/>
      </c>
      <c r="K19" s="125">
        <f t="shared" si="2"/>
        <v>0</v>
      </c>
      <c r="L19" s="126"/>
      <c r="M19" s="56" t="s">
        <v>17</v>
      </c>
      <c r="N19" s="70"/>
      <c r="O19" s="70"/>
      <c r="P19" s="56" t="s">
        <v>17</v>
      </c>
      <c r="Q19" s="70"/>
      <c r="R19" s="96"/>
      <c r="S19" s="56" t="s">
        <v>17</v>
      </c>
      <c r="T19" s="96"/>
      <c r="U19" s="127"/>
      <c r="V19" s="127"/>
      <c r="W19" s="128"/>
      <c r="X19" s="128"/>
    </row>
    <row r="20" spans="1:24" ht="18" customHeight="1">
      <c r="A20" s="94">
        <v>43</v>
      </c>
      <c r="B20" s="10" t="s">
        <v>64</v>
      </c>
      <c r="C20" s="96"/>
      <c r="D20" s="97"/>
      <c r="E20" s="84" t="str">
        <f>IF($H$14=$J$14,CONCATENATE("Winner Match #",$A$14),IF($H$14&gt;$J$14,$E$14,$G$14))</f>
        <v>Winner Match #37</v>
      </c>
      <c r="F20" s="84" t="s">
        <v>12</v>
      </c>
      <c r="G20" s="84" t="str">
        <f>IF($H$15=$J$15,CONCATENATE("Winner Match #",$A$15),IF($H$15&gt;$J$15,$E$15,$G$15))</f>
        <v>Winner Match #38</v>
      </c>
      <c r="H20" s="124">
        <f t="shared" si="0"/>
      </c>
      <c r="I20" s="56" t="s">
        <v>17</v>
      </c>
      <c r="J20" s="124">
        <f t="shared" si="1"/>
      </c>
      <c r="K20" s="125">
        <f t="shared" si="2"/>
        <v>0</v>
      </c>
      <c r="L20" s="126"/>
      <c r="M20" s="56" t="s">
        <v>17</v>
      </c>
      <c r="N20" s="70"/>
      <c r="O20" s="70"/>
      <c r="P20" s="56" t="s">
        <v>17</v>
      </c>
      <c r="Q20" s="70"/>
      <c r="R20" s="96"/>
      <c r="S20" s="56" t="s">
        <v>17</v>
      </c>
      <c r="T20" s="96"/>
      <c r="U20" s="127"/>
      <c r="V20" s="127"/>
      <c r="W20" s="128"/>
      <c r="X20" s="128"/>
    </row>
    <row r="21" spans="1:24" ht="18" customHeight="1" thickBot="1">
      <c r="A21" s="95">
        <v>44</v>
      </c>
      <c r="B21" s="19" t="s">
        <v>64</v>
      </c>
      <c r="C21" s="98"/>
      <c r="D21" s="99"/>
      <c r="E21" s="129" t="str">
        <f>IF($H$16=$J$16,CONCATENATE("Winner Match #",$A$16),IF($H$16&gt;$J$16,$E$16,$G$16))</f>
        <v>Winner Match #39</v>
      </c>
      <c r="F21" s="129" t="s">
        <v>12</v>
      </c>
      <c r="G21" s="129" t="str">
        <f>IF($H$17=$J$17,CONCATENATE("Winner Match #",$A$17),IF($H$17&gt;$J$17,$E$17,$G$17))</f>
        <v>Winner Match #40</v>
      </c>
      <c r="H21" s="130">
        <f t="shared" si="0"/>
      </c>
      <c r="I21" s="129" t="s">
        <v>17</v>
      </c>
      <c r="J21" s="130">
        <f t="shared" si="1"/>
      </c>
      <c r="K21" s="131">
        <f t="shared" si="2"/>
        <v>0</v>
      </c>
      <c r="L21" s="132"/>
      <c r="M21" s="129" t="s">
        <v>17</v>
      </c>
      <c r="N21" s="71"/>
      <c r="O21" s="71"/>
      <c r="P21" s="129" t="s">
        <v>17</v>
      </c>
      <c r="Q21" s="71"/>
      <c r="R21" s="98"/>
      <c r="S21" s="129" t="s">
        <v>17</v>
      </c>
      <c r="T21" s="98"/>
      <c r="U21" s="133"/>
      <c r="V21" s="133"/>
      <c r="W21" s="128"/>
      <c r="X21" s="128"/>
    </row>
    <row r="22" spans="1:24" ht="18" customHeight="1" hidden="1">
      <c r="A22" s="185">
        <v>45</v>
      </c>
      <c r="B22" s="35" t="s">
        <v>19</v>
      </c>
      <c r="C22" s="134"/>
      <c r="D22" s="135"/>
      <c r="E22" s="84" t="str">
        <f>IF($H$18=$J$18,CONCATENATE("Winner Match #",$A$18),IF($H$18&gt;$J$18,$E$18,$G$18))</f>
        <v>Winner Match #41</v>
      </c>
      <c r="F22" s="84" t="s">
        <v>12</v>
      </c>
      <c r="G22" s="84" t="str">
        <f>IF($H$19=$J$19,CONCATENATE("Winner Match #",$A$19),IF($H$19&gt;$J$19,$E$19,$G$19))</f>
        <v>Winner Match #42</v>
      </c>
      <c r="H22" s="136">
        <f t="shared" si="0"/>
      </c>
      <c r="I22" s="84" t="s">
        <v>17</v>
      </c>
      <c r="J22" s="136">
        <f t="shared" si="1"/>
      </c>
      <c r="K22" s="137">
        <f t="shared" si="2"/>
        <v>0</v>
      </c>
      <c r="L22" s="138"/>
      <c r="M22" s="84" t="s">
        <v>17</v>
      </c>
      <c r="N22" s="72"/>
      <c r="O22" s="72"/>
      <c r="P22" s="84" t="s">
        <v>17</v>
      </c>
      <c r="Q22" s="72"/>
      <c r="R22" s="134"/>
      <c r="S22" s="84" t="s">
        <v>17</v>
      </c>
      <c r="T22" s="134"/>
      <c r="U22" s="139"/>
      <c r="V22" s="139"/>
      <c r="W22" s="128"/>
      <c r="X22" s="128"/>
    </row>
    <row r="23" spans="1:24" ht="18" customHeight="1" hidden="1" thickBot="1">
      <c r="A23" s="94">
        <v>46</v>
      </c>
      <c r="B23" s="19" t="s">
        <v>19</v>
      </c>
      <c r="C23" s="98"/>
      <c r="D23" s="99"/>
      <c r="E23" s="129" t="str">
        <f>IF($H$20=$J$20,CONCATENATE("Winner Match #",$A$20),IF($H$20&gt;$J$20,$E$20,$G$20))</f>
        <v>Winner Match #43</v>
      </c>
      <c r="F23" s="129" t="s">
        <v>12</v>
      </c>
      <c r="G23" s="129" t="str">
        <f>IF($H$21=$J$21,CONCATENATE("Winner Match #",$A$21),IF($H$21&gt;$J$21,$E$21,$G$21))</f>
        <v>Winner Match #44</v>
      </c>
      <c r="H23" s="130">
        <f t="shared" si="0"/>
      </c>
      <c r="I23" s="129" t="s">
        <v>17</v>
      </c>
      <c r="J23" s="130">
        <f t="shared" si="1"/>
      </c>
      <c r="K23" s="131">
        <f t="shared" si="2"/>
        <v>0</v>
      </c>
      <c r="L23" s="132"/>
      <c r="M23" s="129" t="s">
        <v>17</v>
      </c>
      <c r="N23" s="71"/>
      <c r="O23" s="71"/>
      <c r="P23" s="129" t="s">
        <v>17</v>
      </c>
      <c r="Q23" s="71"/>
      <c r="R23" s="98"/>
      <c r="S23" s="129" t="s">
        <v>17</v>
      </c>
      <c r="T23" s="98"/>
      <c r="U23" s="133"/>
      <c r="V23" s="133"/>
      <c r="W23" s="128"/>
      <c r="X23" s="128"/>
    </row>
    <row r="24" spans="1:24" ht="18" customHeight="1" hidden="1">
      <c r="A24" s="94">
        <v>47</v>
      </c>
      <c r="B24" s="35">
        <v>7</v>
      </c>
      <c r="C24" s="134"/>
      <c r="D24" s="135"/>
      <c r="E24" s="84" t="str">
        <f>IF($H$18=$J$18,CONCATENATE("Winner Match #",$A$18),IF($H$18&gt;$J$18,$E$18,$G$18))</f>
        <v>Winner Match #41</v>
      </c>
      <c r="F24" s="84" t="s">
        <v>12</v>
      </c>
      <c r="G24" s="84" t="str">
        <f>IF($H$19=$J$19,CONCATENATE("Winner Match #",$A$19),IF($H$19&gt;$J$19,$E$19,$G$19))</f>
        <v>Winner Match #42</v>
      </c>
      <c r="H24" s="136">
        <f t="shared" si="0"/>
      </c>
      <c r="I24" s="84" t="s">
        <v>17</v>
      </c>
      <c r="J24" s="136">
        <f t="shared" si="1"/>
      </c>
      <c r="K24" s="137">
        <f t="shared" si="2"/>
        <v>0</v>
      </c>
      <c r="L24" s="138"/>
      <c r="M24" s="84" t="s">
        <v>17</v>
      </c>
      <c r="N24" s="72"/>
      <c r="O24" s="72"/>
      <c r="P24" s="84" t="s">
        <v>17</v>
      </c>
      <c r="Q24" s="72"/>
      <c r="R24" s="134"/>
      <c r="S24" s="84" t="s">
        <v>17</v>
      </c>
      <c r="T24" s="134"/>
      <c r="U24" s="139"/>
      <c r="V24" s="139"/>
      <c r="W24" s="128"/>
      <c r="X24" s="128"/>
    </row>
    <row r="25" spans="1:24" s="141" customFormat="1" ht="18" customHeight="1" hidden="1" thickBot="1">
      <c r="A25" s="94">
        <v>48</v>
      </c>
      <c r="B25" s="19">
        <v>7</v>
      </c>
      <c r="C25" s="98"/>
      <c r="D25" s="99"/>
      <c r="E25" s="129" t="str">
        <f>IF($H$20=$J$20,CONCATENATE("Winner Match #",$A$20),IF($H$20&gt;$J$20,$E$20,$G$20))</f>
        <v>Winner Match #43</v>
      </c>
      <c r="F25" s="129" t="s">
        <v>12</v>
      </c>
      <c r="G25" s="129" t="str">
        <f>IF($H$21=$J$21,CONCATENATE("Winner Match #",$A$21),IF($H$21&gt;$J$21,$E$21,$G$21))</f>
        <v>Winner Match #44</v>
      </c>
      <c r="H25" s="130">
        <f t="shared" si="0"/>
      </c>
      <c r="I25" s="129" t="s">
        <v>17</v>
      </c>
      <c r="J25" s="130">
        <f t="shared" si="1"/>
      </c>
      <c r="K25" s="131">
        <f t="shared" si="2"/>
        <v>0</v>
      </c>
      <c r="L25" s="132"/>
      <c r="M25" s="129" t="s">
        <v>17</v>
      </c>
      <c r="N25" s="71"/>
      <c r="O25" s="71"/>
      <c r="P25" s="129" t="s">
        <v>17</v>
      </c>
      <c r="Q25" s="71"/>
      <c r="R25" s="98"/>
      <c r="S25" s="129" t="s">
        <v>17</v>
      </c>
      <c r="T25" s="98"/>
      <c r="U25" s="133"/>
      <c r="V25" s="133"/>
      <c r="W25" s="140"/>
      <c r="X25" s="140"/>
    </row>
    <row r="26" spans="1:24" s="141" customFormat="1" ht="18" customHeight="1" hidden="1">
      <c r="A26" s="94">
        <v>49</v>
      </c>
      <c r="B26" s="35">
        <v>5</v>
      </c>
      <c r="C26" s="134"/>
      <c r="D26" s="135"/>
      <c r="E26" s="84" t="str">
        <f>IF($H$24=$J$24,CONCATENATE("Winner Match #",$A$24),IF($H$24&gt;$J$24,$E$24,$G$24))</f>
        <v>Winner Match #47</v>
      </c>
      <c r="F26" s="84" t="s">
        <v>12</v>
      </c>
      <c r="G26" s="84" t="str">
        <f>IF($H$23=$J$23,CONCATENATE("Loser Match #",$A$23),IF($H$23&lt;$J$23,$E$23,$G$23))</f>
        <v>Loser Match #46</v>
      </c>
      <c r="H26" s="136">
        <f t="shared" si="0"/>
      </c>
      <c r="I26" s="84" t="s">
        <v>17</v>
      </c>
      <c r="J26" s="136">
        <f t="shared" si="1"/>
      </c>
      <c r="K26" s="137">
        <f t="shared" si="2"/>
        <v>0</v>
      </c>
      <c r="L26" s="138"/>
      <c r="M26" s="84" t="s">
        <v>17</v>
      </c>
      <c r="N26" s="72"/>
      <c r="O26" s="72"/>
      <c r="P26" s="84" t="s">
        <v>17</v>
      </c>
      <c r="Q26" s="72"/>
      <c r="R26" s="134"/>
      <c r="S26" s="84" t="s">
        <v>17</v>
      </c>
      <c r="T26" s="134"/>
      <c r="U26" s="139"/>
      <c r="V26" s="139"/>
      <c r="W26" s="140"/>
      <c r="X26" s="140"/>
    </row>
    <row r="27" spans="1:24" s="141" customFormat="1" ht="18" customHeight="1" hidden="1" thickBot="1">
      <c r="A27" s="94">
        <v>50</v>
      </c>
      <c r="B27" s="19">
        <v>5</v>
      </c>
      <c r="C27" s="98"/>
      <c r="D27" s="99"/>
      <c r="E27" s="129" t="str">
        <f>IF($H$25=$J$25,CONCATENATE("Winner Match #",$A$25),IF($H$25&gt;$J$25,$E$25,$G$25))</f>
        <v>Winner Match #48</v>
      </c>
      <c r="F27" s="129" t="s">
        <v>12</v>
      </c>
      <c r="G27" s="129" t="str">
        <f>IF($H$22=$J$22,CONCATENATE("Loser Match #",$A$22),IF($H$22&lt;$J$22,$E$22,$G$22))</f>
        <v>Loser Match #45</v>
      </c>
      <c r="H27" s="130">
        <f t="shared" si="0"/>
      </c>
      <c r="I27" s="129" t="s">
        <v>17</v>
      </c>
      <c r="J27" s="130">
        <f t="shared" si="1"/>
      </c>
      <c r="K27" s="131">
        <f t="shared" si="2"/>
        <v>0</v>
      </c>
      <c r="L27" s="132"/>
      <c r="M27" s="129" t="s">
        <v>17</v>
      </c>
      <c r="N27" s="71"/>
      <c r="O27" s="71"/>
      <c r="P27" s="129" t="s">
        <v>17</v>
      </c>
      <c r="Q27" s="71"/>
      <c r="R27" s="98"/>
      <c r="S27" s="129" t="s">
        <v>17</v>
      </c>
      <c r="T27" s="98"/>
      <c r="U27" s="133"/>
      <c r="V27" s="133"/>
      <c r="W27" s="140"/>
      <c r="X27" s="140"/>
    </row>
    <row r="28" spans="1:24" s="141" customFormat="1" ht="18" customHeight="1">
      <c r="A28" s="94">
        <v>45</v>
      </c>
      <c r="B28" s="35" t="s">
        <v>19</v>
      </c>
      <c r="C28" s="134"/>
      <c r="D28" s="135"/>
      <c r="E28" s="84" t="str">
        <f>IF($H$18=$J$18,CONCATENATE("Winner Match #",$A$18),IF($H$18&gt;$J$18,$E$18,$G$18))</f>
        <v>Winner Match #41</v>
      </c>
      <c r="F28" s="84" t="s">
        <v>12</v>
      </c>
      <c r="G28" s="84" t="str">
        <f>IF($H$19=$J$19,CONCATENATE("Winner Match #",$A$19),IF($H$19&gt;$J$19,$E$19,$G$19))</f>
        <v>Winner Match #42</v>
      </c>
      <c r="H28" s="136">
        <f t="shared" si="0"/>
      </c>
      <c r="I28" s="84" t="s">
        <v>17</v>
      </c>
      <c r="J28" s="136">
        <f t="shared" si="1"/>
      </c>
      <c r="K28" s="137">
        <f t="shared" si="2"/>
        <v>0</v>
      </c>
      <c r="L28" s="138"/>
      <c r="M28" s="84" t="s">
        <v>17</v>
      </c>
      <c r="N28" s="72"/>
      <c r="O28" s="72"/>
      <c r="P28" s="84" t="s">
        <v>17</v>
      </c>
      <c r="Q28" s="72"/>
      <c r="R28" s="134"/>
      <c r="S28" s="84" t="s">
        <v>17</v>
      </c>
      <c r="T28" s="134"/>
      <c r="U28" s="139"/>
      <c r="V28" s="139"/>
      <c r="W28" s="128"/>
      <c r="X28" s="140"/>
    </row>
    <row r="29" spans="1:24" ht="18" customHeight="1" thickBot="1">
      <c r="A29" s="95">
        <v>46</v>
      </c>
      <c r="B29" s="19" t="s">
        <v>19</v>
      </c>
      <c r="C29" s="98"/>
      <c r="D29" s="99"/>
      <c r="E29" s="129" t="str">
        <f>IF($H$20=$J$20,CONCATENATE("Winner Match #",$A$20),IF($H$20&gt;$J$20,$E$20,$G$20))</f>
        <v>Winner Match #43</v>
      </c>
      <c r="F29" s="129" t="s">
        <v>12</v>
      </c>
      <c r="G29" s="129" t="str">
        <f>IF($H$21=$J$21,CONCATENATE("Winner Match #",$A$21),IF($H$21&gt;$J$21,$E$21,$G$21))</f>
        <v>Winner Match #44</v>
      </c>
      <c r="H29" s="130">
        <f t="shared" si="0"/>
      </c>
      <c r="I29" s="129" t="s">
        <v>17</v>
      </c>
      <c r="J29" s="130">
        <f t="shared" si="1"/>
      </c>
      <c r="K29" s="131">
        <f t="shared" si="2"/>
        <v>0</v>
      </c>
      <c r="L29" s="132"/>
      <c r="M29" s="129" t="s">
        <v>17</v>
      </c>
      <c r="N29" s="71"/>
      <c r="O29" s="71"/>
      <c r="P29" s="129" t="s">
        <v>17</v>
      </c>
      <c r="Q29" s="71"/>
      <c r="R29" s="98"/>
      <c r="S29" s="129" t="s">
        <v>17</v>
      </c>
      <c r="T29" s="98"/>
      <c r="U29" s="133"/>
      <c r="V29" s="133"/>
      <c r="W29" s="128"/>
      <c r="X29" s="128"/>
    </row>
    <row r="30" spans="1:24" s="141" customFormat="1" ht="18" customHeight="1">
      <c r="A30" s="185">
        <v>47</v>
      </c>
      <c r="B30" s="142" t="s">
        <v>20</v>
      </c>
      <c r="C30" s="134"/>
      <c r="D30" s="135"/>
      <c r="E30" s="84" t="str">
        <f>IF($H$28=$J$28,CONCATENATE("Loser Match #",$A$28),IF($H$28&lt;$J$28,$E$28,$G$28))</f>
        <v>Loser Match #45</v>
      </c>
      <c r="F30" s="84" t="s">
        <v>12</v>
      </c>
      <c r="G30" s="84" t="str">
        <f>IF($H$29=$J$29,CONCATENATE("Loser Match #",$A$29),IF($H$29&lt;$J$29,$E$29,$G$29))</f>
        <v>Loser Match #46</v>
      </c>
      <c r="H30" s="136">
        <f t="shared" si="0"/>
      </c>
      <c r="I30" s="84" t="s">
        <v>17</v>
      </c>
      <c r="J30" s="136">
        <f t="shared" si="1"/>
      </c>
      <c r="K30" s="137">
        <f t="shared" si="2"/>
        <v>0</v>
      </c>
      <c r="L30" s="138"/>
      <c r="M30" s="84" t="s">
        <v>17</v>
      </c>
      <c r="N30" s="72"/>
      <c r="O30" s="72"/>
      <c r="P30" s="84" t="s">
        <v>17</v>
      </c>
      <c r="Q30" s="72"/>
      <c r="R30" s="134"/>
      <c r="S30" s="84" t="s">
        <v>17</v>
      </c>
      <c r="T30" s="134"/>
      <c r="U30" s="139"/>
      <c r="V30" s="139"/>
      <c r="W30" s="128"/>
      <c r="X30" s="140"/>
    </row>
    <row r="31" spans="1:24" ht="18" customHeight="1" thickBot="1">
      <c r="A31" s="95">
        <v>48</v>
      </c>
      <c r="B31" s="19" t="s">
        <v>21</v>
      </c>
      <c r="C31" s="98"/>
      <c r="D31" s="99"/>
      <c r="E31" s="129" t="str">
        <f>IF($H$28=$J$28,CONCATENATE("Winner Match #",$A$28),IF($H$28&gt;$J$28,$E$28,$G$28))</f>
        <v>Winner Match #45</v>
      </c>
      <c r="F31" s="129" t="s">
        <v>12</v>
      </c>
      <c r="G31" s="129" t="str">
        <f>IF($H$29=$J$29,CONCATENATE("Winner Match #",$A$29),IF($H$29&gt;$J$29,$E$29,$G$29))</f>
        <v>Winner Match #46</v>
      </c>
      <c r="H31" s="130">
        <f t="shared" si="0"/>
      </c>
      <c r="I31" s="129" t="s">
        <v>17</v>
      </c>
      <c r="J31" s="130">
        <f t="shared" si="1"/>
      </c>
      <c r="K31" s="131">
        <f t="shared" si="2"/>
        <v>0</v>
      </c>
      <c r="L31" s="126"/>
      <c r="M31" s="56" t="s">
        <v>17</v>
      </c>
      <c r="N31" s="70"/>
      <c r="O31" s="70"/>
      <c r="P31" s="56" t="s">
        <v>17</v>
      </c>
      <c r="Q31" s="70"/>
      <c r="R31" s="96"/>
      <c r="S31" s="56" t="s">
        <v>17</v>
      </c>
      <c r="T31" s="96"/>
      <c r="U31" s="127"/>
      <c r="V31" s="127"/>
      <c r="W31" s="128"/>
      <c r="X31" s="128"/>
    </row>
  </sheetData>
  <sheetProtection password="CCA4" sheet="1" formatCells="0" formatColumns="0" formatRows="0" selectLockedCells="1"/>
  <printOptions horizontalCentered="1"/>
  <pageMargins left="0.1968503937007874" right="0.1968503937007874" top="1.1811023622047245" bottom="0.3937007874015748" header="0.5118110236220472" footer="0.5118110236220472"/>
  <pageSetup fitToHeight="1" fitToWidth="1" orientation="portrait" paperSize="9" scale="75" r:id="rId2"/>
  <headerFooter alignWithMargins="0">
    <oddHeader>&amp;C&amp;12Resultate Finalspiele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5.57421875" style="25" customWidth="1"/>
    <col min="4" max="4" width="12.7109375" style="25" customWidth="1"/>
    <col min="5" max="5" width="1.57421875" style="25" customWidth="1"/>
    <col min="6" max="6" width="12.7109375" style="25" customWidth="1"/>
    <col min="7" max="7" width="12.7109375" style="25" hidden="1" customWidth="1"/>
    <col min="8" max="16384" width="9.140625" style="25" customWidth="1"/>
  </cols>
  <sheetData>
    <row r="1" spans="1:11" ht="9.75" customHeight="1">
      <c r="A1" s="156"/>
      <c r="B1" s="102" t="str">
        <f>CONCATENATE(Resultate!$E$10," ")</f>
        <v>Team 1, Gruppe A </v>
      </c>
      <c r="C1"/>
      <c r="D1" s="20"/>
      <c r="G1"/>
      <c r="H1" s="26"/>
      <c r="I1" s="26"/>
      <c r="J1" s="26"/>
      <c r="K1" s="26"/>
    </row>
    <row r="2" spans="1:11" ht="9.75" customHeight="1">
      <c r="A2" s="105"/>
      <c r="B2" s="21"/>
      <c r="C2"/>
      <c r="D2"/>
      <c r="E2"/>
      <c r="F2"/>
      <c r="G2"/>
      <c r="H2" s="26"/>
      <c r="I2" s="26"/>
      <c r="J2" s="26"/>
      <c r="K2" s="26"/>
    </row>
    <row r="3" spans="1:11" ht="9.75" customHeight="1">
      <c r="A3" s="27" t="str">
        <f>CONCATENATE(Resultate!$E$2," ")</f>
        <v>Team 3, Gruppe B </v>
      </c>
      <c r="B3" s="28" t="str">
        <f>CONCATENATE("",Resultate!$A$10,"")</f>
        <v>33</v>
      </c>
      <c r="C3" s="106" t="str">
        <f>CONCATENATE(Resultate!$E$18," ")</f>
        <v>Winner Match #33 </v>
      </c>
      <c r="D3"/>
      <c r="E3"/>
      <c r="F3"/>
      <c r="G3"/>
      <c r="H3" s="26"/>
      <c r="I3" s="26"/>
      <c r="J3" s="26"/>
      <c r="K3" s="26"/>
    </row>
    <row r="4" spans="1:11" ht="9.75" customHeight="1">
      <c r="A4" s="101"/>
      <c r="B4" s="30" t="str">
        <f>CONCATENATE("(",Resultate!$H$10," : ",Resultate!$J$10,")")</f>
        <v>( : )</v>
      </c>
      <c r="C4" s="21"/>
      <c r="D4" s="20"/>
      <c r="E4" s="168"/>
      <c r="F4" s="163"/>
      <c r="G4" s="111"/>
      <c r="H4"/>
      <c r="I4"/>
      <c r="J4" s="26"/>
      <c r="K4" s="26"/>
    </row>
    <row r="5" spans="1:11" ht="9.75" customHeight="1">
      <c r="A5" s="28" t="str">
        <f>CONCATENATE("",Resultate!$A$2,"")</f>
        <v>25</v>
      </c>
      <c r="B5" s="159" t="str">
        <f>CONCATENATE(Resultate!$G$10," ")</f>
        <v>Winner Match #25 </v>
      </c>
      <c r="C5" s="22"/>
      <c r="D5" s="20"/>
      <c r="E5" s="174"/>
      <c r="F5" s="163"/>
      <c r="G5" s="157" t="str">
        <f>CONCATENATE("",Resultate!$A$13,"")</f>
        <v>36</v>
      </c>
      <c r="H5"/>
      <c r="I5"/>
      <c r="J5" s="26"/>
      <c r="K5" s="26"/>
    </row>
    <row r="6" spans="1:11" ht="9.75" customHeight="1">
      <c r="A6" s="103" t="str">
        <f>CONCATENATE("(",Resultate!$H$2," : ",Resultate!$J$2,")")</f>
        <v>( : )</v>
      </c>
      <c r="B6" s="20"/>
      <c r="C6" s="110"/>
      <c r="D6" s="20"/>
      <c r="E6" s="169"/>
      <c r="F6" s="163"/>
      <c r="G6" s="158" t="str">
        <f>CONCATENATE("(",Resultate!$J$13," : ",Resultate!$H$13,")")</f>
        <v>( : )</v>
      </c>
      <c r="H6"/>
      <c r="I6"/>
      <c r="J6" s="26"/>
      <c r="K6" s="26"/>
    </row>
    <row r="7" spans="1:11" ht="9.75" customHeight="1">
      <c r="A7" s="104" t="str">
        <f>CONCATENATE(Resultate!$G$2," ")</f>
        <v>Team 2, Gruppe D </v>
      </c>
      <c r="B7" s="20"/>
      <c r="C7" s="186"/>
      <c r="E7" s="165"/>
      <c r="F7" s="166"/>
      <c r="G7" s="109" t="str">
        <f>CONCATENATE(Resultate!$E$13," ")</f>
        <v>Winner Match #28 </v>
      </c>
      <c r="H7"/>
      <c r="I7" s="26"/>
      <c r="J7" s="26"/>
      <c r="K7" s="26"/>
    </row>
    <row r="8" spans="1:11" ht="9.75" customHeight="1">
      <c r="A8" s="105"/>
      <c r="B8" s="20"/>
      <c r="C8" s="28" t="str">
        <f>CONCATENATE("",Resultate!$A$18,"")</f>
        <v>41</v>
      </c>
      <c r="D8" s="106" t="str">
        <f>CONCATENATE(Resultate!$E$28," ")</f>
        <v>Winner Match #41 </v>
      </c>
      <c r="E8" s="175"/>
      <c r="F8" s="166"/>
      <c r="G8"/>
      <c r="H8"/>
      <c r="I8"/>
      <c r="J8" s="26"/>
      <c r="K8" s="26"/>
    </row>
    <row r="9" spans="1:11" ht="9.75" customHeight="1">
      <c r="A9" s="27" t="str">
        <f>CONCATENATE(Resultate!$E$3," ")</f>
        <v>Team 2, Gruppe E </v>
      </c>
      <c r="B9" s="20"/>
      <c r="C9" s="30" t="str">
        <f>CONCATENATE("(",Resultate!$H$18," : ",Resultate!$J$18,")")</f>
        <v>( : )</v>
      </c>
      <c r="D9" s="21"/>
      <c r="E9"/>
      <c r="G9"/>
      <c r="H9" s="26"/>
      <c r="I9"/>
      <c r="J9" s="26"/>
      <c r="K9" s="26"/>
    </row>
    <row r="10" spans="1:11" ht="9.75" customHeight="1">
      <c r="A10" s="101"/>
      <c r="C10" s="186"/>
      <c r="D10" s="22"/>
      <c r="G10"/>
      <c r="H10" s="26"/>
      <c r="I10" s="26"/>
      <c r="J10" s="26"/>
      <c r="K10" s="26"/>
    </row>
    <row r="11" spans="1:11" ht="9.75" customHeight="1">
      <c r="A11" s="28" t="str">
        <f>CONCATENATE("",Resultate!$A$3,"")</f>
        <v>26</v>
      </c>
      <c r="B11" s="106" t="str">
        <f>CONCATENATE(Resultate!$E$11," ")</f>
        <v>Winner Match #26 </v>
      </c>
      <c r="C11" s="22"/>
      <c r="D11" s="22"/>
      <c r="G11" s="107" t="str">
        <f>CONCATENATE(Resultate!$G$12," ")</f>
        <v>Winner Match #27 </v>
      </c>
      <c r="H11" s="26"/>
      <c r="I11" s="26"/>
      <c r="J11" s="26"/>
      <c r="K11" s="26"/>
    </row>
    <row r="12" spans="1:11" ht="9.75" customHeight="1">
      <c r="A12" s="103" t="str">
        <f>CONCATENATE("(",Resultate!$H$3," : ",Resultate!$J$3,")")</f>
        <v>( : )</v>
      </c>
      <c r="B12" s="22"/>
      <c r="C12" s="22"/>
      <c r="D12" s="22"/>
      <c r="G12" s="111"/>
      <c r="H12" s="26"/>
      <c r="I12" s="26"/>
      <c r="J12" s="26"/>
      <c r="K12" s="26"/>
    </row>
    <row r="13" spans="1:11" ht="9.75" customHeight="1">
      <c r="A13" s="104" t="str">
        <f>CONCATENATE(Resultate!$G$3," ")</f>
        <v>Team 3, Gruppe G </v>
      </c>
      <c r="B13" s="28" t="str">
        <f>CONCATENATE("",Resultate!$A$11,"")</f>
        <v>34</v>
      </c>
      <c r="C13" s="112" t="str">
        <f>CONCATENATE(Resultate!$G$18," ")</f>
        <v>Winner Match #34 </v>
      </c>
      <c r="D13" s="22"/>
      <c r="G13" s="157" t="str">
        <f>CONCATENATE("",Resultate!$A$12,"")</f>
        <v>35</v>
      </c>
      <c r="H13" s="26"/>
      <c r="I13"/>
      <c r="J13" s="26"/>
      <c r="K13" s="26"/>
    </row>
    <row r="14" spans="1:11" ht="9.75" customHeight="1">
      <c r="A14" s="111"/>
      <c r="B14" s="30" t="str">
        <f>CONCATENATE("(",Resultate!$H$11," : ",Resultate!$J$11,")")</f>
        <v>( : )</v>
      </c>
      <c r="C14" s="23"/>
      <c r="D14" s="22"/>
      <c r="G14" s="158" t="str">
        <f>CONCATENATE("(",Resultate!$J$12," : ",Resultate!$H$12,")")</f>
        <v>( : )</v>
      </c>
      <c r="H14" s="26"/>
      <c r="I14"/>
      <c r="J14" s="26"/>
      <c r="K14" s="26"/>
    </row>
    <row r="15" spans="1:11" ht="9.75" customHeight="1">
      <c r="A15" s="154"/>
      <c r="B15" s="104" t="str">
        <f>CONCATENATE(Resultate!$G$11," ")</f>
        <v>Team 1, Gruppe H </v>
      </c>
      <c r="C15"/>
      <c r="D15" s="186"/>
      <c r="E15" s="114"/>
      <c r="G15" s="109" t="str">
        <f>CONCATENATE(Resultate!$E$12," ")</f>
        <v>Team 1, Gruppe E </v>
      </c>
      <c r="H15" s="26"/>
      <c r="I15" s="26"/>
      <c r="J15" s="26"/>
      <c r="K15" s="26"/>
    </row>
    <row r="16" spans="1:11" ht="9.75" customHeight="1">
      <c r="A16" s="155"/>
      <c r="D16" s="160" t="str">
        <f>CONCATENATE("",Resultate!$A$28,"")</f>
        <v>45</v>
      </c>
      <c r="E16" s="24"/>
      <c r="G16" s="26"/>
      <c r="H16" s="26"/>
      <c r="I16" s="26"/>
      <c r="J16" s="26"/>
      <c r="K16" s="26"/>
    </row>
    <row r="17" spans="1:11" ht="9.75" customHeight="1">
      <c r="A17" s="156"/>
      <c r="B17" s="102" t="str">
        <f>CONCATENATE(Resultate!$E$12," ")</f>
        <v>Team 1, Gruppe E </v>
      </c>
      <c r="C17"/>
      <c r="D17" s="161" t="str">
        <f>CONCATENATE("(",Resultate!$H$28," : ",Resultate!$J$28,")")</f>
        <v>( : )</v>
      </c>
      <c r="E17"/>
      <c r="G17"/>
      <c r="H17" s="26"/>
      <c r="I17" s="26"/>
      <c r="J17" s="26"/>
      <c r="K17" s="26"/>
    </row>
    <row r="18" spans="1:11" ht="9.75" customHeight="1">
      <c r="A18" s="154"/>
      <c r="B18" s="21"/>
      <c r="D18" s="29"/>
      <c r="E18"/>
      <c r="G18"/>
      <c r="H18" s="26"/>
      <c r="I18" s="26"/>
      <c r="J18" s="26"/>
      <c r="K18" s="26"/>
    </row>
    <row r="19" spans="1:11" ht="9.75" customHeight="1">
      <c r="A19" s="27" t="str">
        <f>CONCATENATE(Resultate!$E$4," ")</f>
        <v>Team 3, Gruppe F </v>
      </c>
      <c r="B19" s="28" t="str">
        <f>CONCATENATE("",Resultate!$A$12,"")</f>
        <v>35</v>
      </c>
      <c r="C19" s="106" t="str">
        <f>CONCATENATE(Resultate!$E$19," ")</f>
        <v>Winner Match #35 </v>
      </c>
      <c r="D19" s="29"/>
      <c r="E19"/>
      <c r="G19"/>
      <c r="H19" s="26"/>
      <c r="I19" s="26"/>
      <c r="J19" s="26"/>
      <c r="K19" s="26"/>
    </row>
    <row r="20" spans="1:11" ht="9.75" customHeight="1">
      <c r="A20" s="101"/>
      <c r="B20" s="30" t="str">
        <f>CONCATENATE("(",Resultate!$H$12," : ",Resultate!$J$12,")")</f>
        <v>( : )</v>
      </c>
      <c r="C20" s="21"/>
      <c r="D20" s="29"/>
      <c r="E20"/>
      <c r="G20" s="107" t="str">
        <f>CONCATENATE(Resultate!$G$13," ")</f>
        <v>Team 1, Gruppe D </v>
      </c>
      <c r="H20"/>
      <c r="I20" s="26"/>
      <c r="J20" s="26"/>
      <c r="K20" s="26"/>
    </row>
    <row r="21" spans="1:11" ht="9.75" customHeight="1">
      <c r="A21" s="28" t="str">
        <f>CONCATENATE("",Resultate!$A$4,"")</f>
        <v>27</v>
      </c>
      <c r="B21" s="108" t="str">
        <f>CONCATENATE(Resultate!$G$12," ")</f>
        <v>Winner Match #27 </v>
      </c>
      <c r="C21" s="22"/>
      <c r="D21" s="22"/>
      <c r="E21" s="170"/>
      <c r="G21" s="111"/>
      <c r="H21"/>
      <c r="I21"/>
      <c r="J21" s="26"/>
      <c r="K21" s="26"/>
    </row>
    <row r="22" spans="1:11" ht="9.75" customHeight="1">
      <c r="A22" s="103" t="str">
        <f>CONCATENATE("(",Resultate!$H$4," : ",Resultate!$J$4,")")</f>
        <v>( : )</v>
      </c>
      <c r="B22" s="23"/>
      <c r="C22" s="29"/>
      <c r="D22" s="22"/>
      <c r="E22" s="171"/>
      <c r="F22" s="113" t="str">
        <f>CONCATENATE(Resultate!$E$30," ")</f>
        <v>Loser Match #45 </v>
      </c>
      <c r="G22" s="157" t="str">
        <f>CONCATENATE("",Resultate!$A$13,"")</f>
        <v>36</v>
      </c>
      <c r="H22"/>
      <c r="I22"/>
      <c r="J22" s="26"/>
      <c r="K22" s="26"/>
    </row>
    <row r="23" spans="1:11" ht="9.75" customHeight="1">
      <c r="A23" s="104" t="str">
        <f>CONCATENATE(Resultate!$G$4," ")</f>
        <v>Team 2, Gruppe H </v>
      </c>
      <c r="B23" s="20"/>
      <c r="C23" s="110"/>
      <c r="D23" s="22"/>
      <c r="E23" s="172"/>
      <c r="F23" s="181"/>
      <c r="G23" s="158" t="str">
        <f>CONCATENATE("(",Resultate!$J$13," : ",Resultate!$H$13,")")</f>
        <v>( : )</v>
      </c>
      <c r="H23"/>
      <c r="I23"/>
      <c r="J23" s="26"/>
      <c r="K23" s="26"/>
    </row>
    <row r="24" spans="2:11" ht="9.75" customHeight="1">
      <c r="B24" s="20"/>
      <c r="C24" s="28" t="str">
        <f>CONCATENATE("",Resultate!$A$19,"")</f>
        <v>42</v>
      </c>
      <c r="D24" s="162" t="str">
        <f>CONCATENATE(Resultate!$G$28," ")</f>
        <v>Winner Match #42 </v>
      </c>
      <c r="E24" s="173"/>
      <c r="F24" s="177" t="s">
        <v>75</v>
      </c>
      <c r="G24" s="109" t="str">
        <f>CONCATENATE(Resultate!$E$13," ")</f>
        <v>Winner Match #28 </v>
      </c>
      <c r="H24"/>
      <c r="I24" s="26"/>
      <c r="J24" s="26"/>
      <c r="K24" s="26"/>
    </row>
    <row r="25" spans="1:11" ht="9.75" customHeight="1">
      <c r="A25" s="27" t="str">
        <f>CONCATENATE(Resultate!$E$5," ")</f>
        <v>Team 2, Gruppe A </v>
      </c>
      <c r="B25" s="20"/>
      <c r="C25" s="30" t="str">
        <f>CONCATENATE("(",Resultate!$H$19," : ",Resultate!$J$19,")")</f>
        <v>( : )</v>
      </c>
      <c r="D25" s="20"/>
      <c r="E25" s="172"/>
      <c r="F25" s="182"/>
      <c r="G25"/>
      <c r="H25" s="26"/>
      <c r="I25"/>
      <c r="J25" s="26"/>
      <c r="K25" s="26"/>
    </row>
    <row r="26" spans="1:11" ht="9.75" customHeight="1">
      <c r="A26" s="101"/>
      <c r="C26" s="22"/>
      <c r="D26" s="20"/>
      <c r="F26" s="178" t="str">
        <f>CONCATENATE("",Resultate!$A$30,"")</f>
        <v>47</v>
      </c>
      <c r="G26"/>
      <c r="H26" s="26"/>
      <c r="I26" s="26"/>
      <c r="J26" s="26"/>
      <c r="K26" s="26"/>
    </row>
    <row r="27" spans="1:11" ht="9.75" customHeight="1">
      <c r="A27" s="28" t="str">
        <f>CONCATENATE("",Resultate!$A$5,"")</f>
        <v>28</v>
      </c>
      <c r="B27" s="106" t="str">
        <f>CONCATENATE(Resultate!$E$13," ")</f>
        <v>Winner Match #28 </v>
      </c>
      <c r="C27" s="22"/>
      <c r="F27" s="183"/>
      <c r="G27" s="107" t="str">
        <f>CONCATENATE(Resultate!$G$12," ")</f>
        <v>Winner Match #27 </v>
      </c>
      <c r="H27" s="26"/>
      <c r="I27" s="26"/>
      <c r="J27" s="26"/>
      <c r="K27" s="26"/>
    </row>
    <row r="28" spans="1:11" ht="9.75" customHeight="1">
      <c r="A28" s="103" t="str">
        <f>CONCATENATE("(",Resultate!$H$5," : ",Resultate!$J$5,")")</f>
        <v>( : )</v>
      </c>
      <c r="B28" s="21"/>
      <c r="C28" s="22"/>
      <c r="F28" s="179" t="str">
        <f>CONCATENATE("(",Resultate!$H$30," : ",Resultate!$J$30,")")</f>
        <v>( : )</v>
      </c>
      <c r="G28" s="111"/>
      <c r="H28" s="26"/>
      <c r="I28" s="26"/>
      <c r="J28" s="26"/>
      <c r="K28" s="26"/>
    </row>
    <row r="29" spans="1:11" ht="9.75" customHeight="1">
      <c r="A29" s="104" t="str">
        <f>CONCATENATE(Resultate!$G$5," ")</f>
        <v>Team 3, Gruppe C </v>
      </c>
      <c r="B29" s="28" t="str">
        <f>CONCATENATE("",Resultate!$A$13,"")</f>
        <v>36</v>
      </c>
      <c r="C29" s="112" t="str">
        <f>CONCATENATE(Resultate!$G$19," ")</f>
        <v>Winner Match #36 </v>
      </c>
      <c r="D29" s="20"/>
      <c r="F29" s="184"/>
      <c r="G29" s="157" t="str">
        <f>CONCATENATE("",Resultate!$A$12,"")</f>
        <v>35</v>
      </c>
      <c r="H29" s="26"/>
      <c r="I29"/>
      <c r="J29" s="26"/>
      <c r="K29" s="26"/>
    </row>
    <row r="30" spans="1:11" ht="9.75" customHeight="1">
      <c r="A30" s="111"/>
      <c r="B30" s="30" t="str">
        <f>CONCATENATE("(",Resultate!$H$13," : ",Resultate!$J$13,")")</f>
        <v>( : )</v>
      </c>
      <c r="C30" s="23"/>
      <c r="D30" s="20"/>
      <c r="F30" s="180" t="str">
        <f>CONCATENATE(Resultate!$G$30," ")</f>
        <v>Loser Match #46 </v>
      </c>
      <c r="G30" s="158" t="str">
        <f>CONCATENATE("(",Resultate!$J$12," : ",Resultate!$H$12,")")</f>
        <v>( : )</v>
      </c>
      <c r="H30" s="26"/>
      <c r="I30"/>
      <c r="J30" s="26"/>
      <c r="K30" s="26"/>
    </row>
    <row r="31" spans="1:11" ht="9.75" customHeight="1">
      <c r="A31" s="154"/>
      <c r="B31" s="104" t="str">
        <f>CONCATENATE(Resultate!$G$13," ")</f>
        <v>Team 1, Gruppe D </v>
      </c>
      <c r="C31"/>
      <c r="E31" s="114"/>
      <c r="G31" s="109" t="str">
        <f>CONCATENATE(Resultate!$E$12," ")</f>
        <v>Team 1, Gruppe E </v>
      </c>
      <c r="H31" s="26"/>
      <c r="I31" s="26"/>
      <c r="J31" s="26"/>
      <c r="K31" s="26"/>
    </row>
    <row r="32" spans="1:11" ht="9.75" customHeight="1">
      <c r="A32" s="155"/>
      <c r="C32" s="20"/>
      <c r="D32" s="31" t="s">
        <v>55</v>
      </c>
      <c r="E32" s="24"/>
      <c r="F32" s="113" t="str">
        <f>CONCATENATE(Resultate!$E$31," ")</f>
        <v>Winner Match #45 </v>
      </c>
      <c r="G32" s="26"/>
      <c r="H32" s="26"/>
      <c r="I32" s="26"/>
      <c r="J32" s="26"/>
      <c r="K32" s="26"/>
    </row>
    <row r="33" spans="1:11" ht="9.75" customHeight="1">
      <c r="A33" s="156"/>
      <c r="B33" s="102" t="str">
        <f>CONCATENATE(Resultate!$E$14," ")</f>
        <v>Team 1, Gruppe C </v>
      </c>
      <c r="C33"/>
      <c r="E33" s="24"/>
      <c r="F33" s="176"/>
      <c r="G33"/>
      <c r="H33" s="26"/>
      <c r="I33" s="26"/>
      <c r="J33" s="26"/>
      <c r="K33" s="26"/>
    </row>
    <row r="34" spans="1:11" ht="9.75" customHeight="1">
      <c r="A34" s="105"/>
      <c r="B34" s="21"/>
      <c r="C34"/>
      <c r="F34" s="177" t="s">
        <v>56</v>
      </c>
      <c r="G34" s="26"/>
      <c r="H34" s="26"/>
      <c r="I34" s="26"/>
      <c r="J34" s="26"/>
      <c r="K34" s="26"/>
    </row>
    <row r="35" spans="1:11" ht="9.75" customHeight="1">
      <c r="A35" s="27" t="str">
        <f>CONCATENATE(Resultate!$E$6," ")</f>
        <v>Team 3, Gruppe D </v>
      </c>
      <c r="B35" s="28" t="str">
        <f>CONCATENATE("",Resultate!$A$14,"")</f>
        <v>37</v>
      </c>
      <c r="C35" s="106" t="str">
        <f>CONCATENATE(Resultate!$E$20," ")</f>
        <v>Winner Match #37 </v>
      </c>
      <c r="E35" s="24"/>
      <c r="F35" s="177"/>
      <c r="G35" s="26"/>
      <c r="H35" s="26"/>
      <c r="I35" s="26"/>
      <c r="J35" s="26"/>
      <c r="K35" s="26"/>
    </row>
    <row r="36" spans="1:11" ht="9.75" customHeight="1">
      <c r="A36" s="101"/>
      <c r="B36" s="30" t="str">
        <f>CONCATENATE("(",Resultate!$H$14," : ",Resultate!$J$14,")")</f>
        <v>( : )</v>
      </c>
      <c r="C36" s="21"/>
      <c r="F36" s="178" t="str">
        <f>CONCATENATE("",Resultate!$A$31,"")</f>
        <v>48</v>
      </c>
      <c r="G36"/>
      <c r="H36" s="26"/>
      <c r="I36" s="26"/>
      <c r="J36" s="26"/>
      <c r="K36" s="26"/>
    </row>
    <row r="37" spans="1:11" ht="9.75" customHeight="1">
      <c r="A37" s="28" t="str">
        <f>CONCATENATE("",Resultate!$A$6,"")</f>
        <v>29</v>
      </c>
      <c r="B37" s="159" t="str">
        <f>CONCATENATE(Resultate!$G$14," ")</f>
        <v>Winner Match #29 </v>
      </c>
      <c r="C37" s="22"/>
      <c r="F37" s="179"/>
      <c r="G37"/>
      <c r="H37" s="26"/>
      <c r="I37" s="26"/>
      <c r="J37" s="26"/>
      <c r="K37" s="26"/>
    </row>
    <row r="38" spans="1:6" ht="9.75" customHeight="1">
      <c r="A38" s="103" t="str">
        <f>CONCATENATE("(",Resultate!$H$6," : ",Resultate!$J$6,")")</f>
        <v>( : )</v>
      </c>
      <c r="B38" s="20"/>
      <c r="C38" s="110"/>
      <c r="F38" s="177" t="str">
        <f>CONCATENATE("(",Resultate!$H$31," : ",Resultate!$J$31,")")</f>
        <v>( : )</v>
      </c>
    </row>
    <row r="39" spans="1:7" ht="9.75" customHeight="1">
      <c r="A39" s="104" t="str">
        <f>CONCATENATE(Resultate!$G$6," ")</f>
        <v>Team 2, Gruppe B </v>
      </c>
      <c r="B39" s="20"/>
      <c r="C39" s="28" t="str">
        <f>CONCATENATE("",Resultate!$A$20,"")</f>
        <v>43</v>
      </c>
      <c r="D39" s="106" t="str">
        <f>CONCATENATE(Resultate!$E$29," ")</f>
        <v>Winner Match #43 </v>
      </c>
      <c r="F39" s="179"/>
      <c r="G39"/>
    </row>
    <row r="40" spans="1:7" ht="9.75" customHeight="1">
      <c r="A40" s="105"/>
      <c r="B40" s="20"/>
      <c r="C40" s="30" t="str">
        <f>CONCATENATE("(",Resultate!$H$20," : ",Resultate!$J$20,")")</f>
        <v>( : )</v>
      </c>
      <c r="D40" s="21"/>
      <c r="F40" s="180" t="str">
        <f>CONCATENATE(Resultate!$G$31," ")</f>
        <v>Winner Match #46 </v>
      </c>
      <c r="G40"/>
    </row>
    <row r="41" spans="1:7" ht="9.75" customHeight="1">
      <c r="A41" s="27" t="str">
        <f>CONCATENATE(Resultate!$E$7," ")</f>
        <v>Team 2, Gruppe G </v>
      </c>
      <c r="B41" s="20"/>
      <c r="C41" s="22"/>
      <c r="D41" s="22"/>
      <c r="G41"/>
    </row>
    <row r="42" spans="1:7" ht="9.75" customHeight="1">
      <c r="A42" s="101"/>
      <c r="D42" s="22"/>
      <c r="F42"/>
      <c r="G42"/>
    </row>
    <row r="43" spans="1:8" ht="9.75" customHeight="1">
      <c r="A43" s="28" t="str">
        <f>CONCATENATE("",Resultate!$A$7,"")</f>
        <v>30</v>
      </c>
      <c r="B43" s="106" t="str">
        <f>CONCATENATE(Resultate!$E$15," ")</f>
        <v>Winner Match #30 </v>
      </c>
      <c r="C43" s="22"/>
      <c r="D43" s="22"/>
      <c r="G43" s="107" t="str">
        <f>CONCATENATE(Resultate!$G$11," ")</f>
        <v>Team 1, Gruppe H </v>
      </c>
      <c r="H43"/>
    </row>
    <row r="44" spans="1:8" ht="9.75" customHeight="1">
      <c r="A44" s="103" t="str">
        <f>CONCATENATE("(",Resultate!$H$7," : ",Resultate!$J$7,")")</f>
        <v>( : )</v>
      </c>
      <c r="B44" s="22"/>
      <c r="C44" s="22"/>
      <c r="D44" s="22"/>
      <c r="E44" s="163"/>
      <c r="F44" s="163"/>
      <c r="G44" s="111"/>
      <c r="H44"/>
    </row>
    <row r="45" spans="1:9" ht="9.75" customHeight="1">
      <c r="A45" s="104" t="str">
        <f>CONCATENATE(Resultate!$G$7," ")</f>
        <v>Team 3, Gruppe E </v>
      </c>
      <c r="B45" s="28" t="str">
        <f>CONCATENATE("",Resultate!$A$15,"")</f>
        <v>38</v>
      </c>
      <c r="C45" s="112" t="str">
        <f>CONCATENATE(Resultate!$G$20," ")</f>
        <v>Winner Match #38 </v>
      </c>
      <c r="D45" s="22"/>
      <c r="E45" s="163"/>
      <c r="F45" s="163"/>
      <c r="G45" s="157" t="str">
        <f>CONCATENATE("",Resultate!$A$11,"")</f>
        <v>34</v>
      </c>
      <c r="H45"/>
      <c r="I45"/>
    </row>
    <row r="46" spans="1:8" ht="9.75" customHeight="1">
      <c r="A46" s="111"/>
      <c r="B46" s="30" t="str">
        <f>CONCATENATE("(",Resultate!$H$15," : ",Resultate!$J$15,")")</f>
        <v>( : )</v>
      </c>
      <c r="C46" s="23"/>
      <c r="D46" s="22"/>
      <c r="E46" s="164"/>
      <c r="F46" s="163"/>
      <c r="G46" s="158" t="str">
        <f>CONCATENATE("(",Resultate!$J$11," : ",Resultate!$H$11,")")</f>
        <v>( : )</v>
      </c>
      <c r="H46"/>
    </row>
    <row r="47" spans="1:8" ht="9.75" customHeight="1">
      <c r="A47" s="154"/>
      <c r="B47" s="104" t="str">
        <f>CONCATENATE(Resultate!$G$15," ")</f>
        <v>Team 1, Gruppe F </v>
      </c>
      <c r="C47"/>
      <c r="D47" s="160" t="str">
        <f>CONCATENATE("",Resultate!$A$29,"")</f>
        <v>46</v>
      </c>
      <c r="E47" s="165"/>
      <c r="F47" s="166"/>
      <c r="G47" s="109" t="str">
        <f>CONCATENATE(Resultate!$E$11," ")</f>
        <v>Winner Match #26 </v>
      </c>
      <c r="H47"/>
    </row>
    <row r="48" spans="1:8" ht="9.75" customHeight="1">
      <c r="A48" s="155"/>
      <c r="D48" s="103" t="str">
        <f>CONCATENATE("(",Resultate!$H$29," : ",Resultate!$J$29,")")</f>
        <v>( : )</v>
      </c>
      <c r="E48" s="164"/>
      <c r="F48" s="166"/>
      <c r="H48"/>
    </row>
    <row r="49" spans="1:9" ht="9.75" customHeight="1">
      <c r="A49" s="156"/>
      <c r="B49" s="102" t="str">
        <f>CONCATENATE(Resultate!$E$16," ")</f>
        <v>Team 1, Gruppe G </v>
      </c>
      <c r="C49"/>
      <c r="D49" s="22"/>
      <c r="E49" s="167"/>
      <c r="F49" s="163"/>
      <c r="G49"/>
      <c r="H49" s="26"/>
      <c r="I49"/>
    </row>
    <row r="50" spans="1:8" ht="9.75" customHeight="1">
      <c r="A50" s="154"/>
      <c r="B50" s="21"/>
      <c r="D50" s="29"/>
      <c r="E50" s="168"/>
      <c r="F50" s="163"/>
      <c r="G50" s="26"/>
      <c r="H50" s="26"/>
    </row>
    <row r="51" spans="1:9" ht="9.75" customHeight="1">
      <c r="A51" s="27" t="str">
        <f>CONCATENATE(Resultate!$E$8," ")</f>
        <v>Team 3, Gruppe H </v>
      </c>
      <c r="B51" s="28" t="str">
        <f>CONCATENATE("",Resultate!$A$16,"")</f>
        <v>39</v>
      </c>
      <c r="C51" s="106" t="str">
        <f>CONCATENATE(Resultate!$E$21," ")</f>
        <v>Winner Match #39 </v>
      </c>
      <c r="D51" s="29"/>
      <c r="E51" s="169"/>
      <c r="F51" s="169"/>
      <c r="G51" s="109" t="str">
        <f>CONCATENATE(Resultate!$G$10," ")</f>
        <v>Winner Match #25 </v>
      </c>
      <c r="H51" s="26"/>
      <c r="I51"/>
    </row>
    <row r="52" spans="1:8" ht="9.75" customHeight="1">
      <c r="A52" s="101"/>
      <c r="B52" s="30" t="str">
        <f>CONCATENATE("(",Resultate!$H$16," : ",Resultate!$J$16,")")</f>
        <v>( : )</v>
      </c>
      <c r="C52" s="21"/>
      <c r="D52" s="29"/>
      <c r="E52" s="169"/>
      <c r="F52" s="169"/>
      <c r="G52" s="32"/>
      <c r="H52" s="26"/>
    </row>
    <row r="53" spans="1:9" ht="9.75" customHeight="1">
      <c r="A53" s="28" t="str">
        <f>CONCATENATE("",Resultate!$A$8,"")</f>
        <v>31</v>
      </c>
      <c r="B53" s="108" t="str">
        <f>CONCATENATE(Resultate!$G$16," ")</f>
        <v>Winner Match #31 </v>
      </c>
      <c r="C53" s="22"/>
      <c r="D53" s="22"/>
      <c r="E53"/>
      <c r="F53"/>
      <c r="G53" s="157" t="str">
        <f>CONCATENATE("",Resultate!$A$10,"")</f>
        <v>33</v>
      </c>
      <c r="H53" s="26"/>
      <c r="I53"/>
    </row>
    <row r="54" spans="1:8" ht="9.75" customHeight="1">
      <c r="A54" s="103" t="str">
        <f>CONCATENATE("(",Resultate!$H$8," : ",Resultate!$J$8,")")</f>
        <v>( : )</v>
      </c>
      <c r="B54" s="23"/>
      <c r="C54" s="29"/>
      <c r="D54" s="22"/>
      <c r="E54"/>
      <c r="F54"/>
      <c r="G54" s="158" t="str">
        <f>CONCATENATE("(",Resultate!$J$10," : ",Resultate!$H$10,")")</f>
        <v>( : )</v>
      </c>
      <c r="H54" s="26"/>
    </row>
    <row r="55" spans="1:8" ht="9.75" customHeight="1">
      <c r="A55" s="104" t="str">
        <f>CONCATENATE(Resultate!$G$8," ")</f>
        <v>Team 2, Gruppe F </v>
      </c>
      <c r="B55" s="20"/>
      <c r="C55" s="110"/>
      <c r="D55" s="22"/>
      <c r="E55"/>
      <c r="F55"/>
      <c r="G55" s="109" t="str">
        <f>CONCATENATE(Resultate!$E$10," ")</f>
        <v>Team 1, Gruppe A </v>
      </c>
      <c r="H55" s="26"/>
    </row>
    <row r="56" spans="2:8" ht="9.75" customHeight="1">
      <c r="B56" s="20"/>
      <c r="C56" s="28" t="str">
        <f>CONCATENATE("",Resultate!$A$21,"")</f>
        <v>44</v>
      </c>
      <c r="D56" s="162" t="str">
        <f>CONCATENATE(Resultate!$G$29," ")</f>
        <v>Winner Match #44 </v>
      </c>
      <c r="E56"/>
      <c r="G56" s="26"/>
      <c r="H56" s="26"/>
    </row>
    <row r="57" spans="1:8" ht="9.75" customHeight="1">
      <c r="A57" s="27" t="str">
        <f>CONCATENATE(Resultate!$E$9," ")</f>
        <v>Team 2, Gruppe C </v>
      </c>
      <c r="B57" s="20"/>
      <c r="C57" s="30" t="str">
        <f>CONCATENATE("(",Resultate!$H$21," : ",Resultate!$J$21,")")</f>
        <v>( : )</v>
      </c>
      <c r="G57"/>
      <c r="H57" s="26"/>
    </row>
    <row r="58" spans="1:8" ht="9.75" customHeight="1">
      <c r="A58" s="101"/>
      <c r="C58" s="22"/>
      <c r="D58" s="20"/>
      <c r="G58"/>
      <c r="H58" s="26"/>
    </row>
    <row r="59" spans="1:3" ht="12.75">
      <c r="A59" s="28" t="str">
        <f>CONCATENATE("",Resultate!$A$9,"")</f>
        <v>32</v>
      </c>
      <c r="B59" s="106" t="str">
        <f>CONCATENATE(Resultate!$E$17," ")</f>
        <v>Winner Match #32 </v>
      </c>
      <c r="C59" s="22"/>
    </row>
    <row r="60" spans="1:3" ht="11.25">
      <c r="A60" s="103" t="str">
        <f>CONCATENATE("(",Resultate!$H$9," : ",Resultate!$J$9,")")</f>
        <v>( : )</v>
      </c>
      <c r="B60" s="21"/>
      <c r="C60" s="22"/>
    </row>
    <row r="61" spans="1:3" ht="12.75">
      <c r="A61" s="104" t="str">
        <f>CONCATENATE(Resultate!$G$9," ")</f>
        <v>Team 3, Gruppe A </v>
      </c>
      <c r="B61" s="28" t="str">
        <f>CONCATENATE("",Resultate!$A$17,"")</f>
        <v>40</v>
      </c>
      <c r="C61" s="112" t="str">
        <f>CONCATENATE(Resultate!$G$21," ")</f>
        <v>Winner Match #40 </v>
      </c>
    </row>
    <row r="62" spans="1:3" ht="11.25">
      <c r="A62" s="111"/>
      <c r="B62" s="30" t="str">
        <f>CONCATENATE("(",Resultate!$H$17," : ",Resultate!$J$17,")")</f>
        <v>( : )</v>
      </c>
      <c r="C62" s="23"/>
    </row>
    <row r="63" spans="1:3" ht="12.75">
      <c r="A63" s="154"/>
      <c r="B63" s="104" t="str">
        <f>CONCATENATE(Resultate!$G$17," ")</f>
        <v>Team 1, Gruppe B </v>
      </c>
      <c r="C63"/>
    </row>
    <row r="64" spans="1:3" ht="9">
      <c r="A64" s="155"/>
      <c r="C64" s="20"/>
    </row>
  </sheetData>
  <sheetProtection password="CCA4" sheet="1"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portrait" paperSize="9" scale="110" r:id="rId2"/>
  <headerFooter alignWithMargins="0">
    <oddHeader>&amp;C&amp;16Tableau Finalspiele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0" sqref="F10"/>
    </sheetView>
  </sheetViews>
  <sheetFormatPr defaultColWidth="8.7109375" defaultRowHeight="12.75"/>
  <cols>
    <col min="1" max="1" width="3.00390625" style="1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86" t="s">
        <v>39</v>
      </c>
      <c r="B1" s="87" t="s">
        <v>22</v>
      </c>
      <c r="C1" s="87" t="s">
        <v>53</v>
      </c>
      <c r="D1" s="88" t="s">
        <v>6</v>
      </c>
      <c r="E1" s="32"/>
    </row>
    <row r="2" spans="1:5" ht="15.75" customHeight="1">
      <c r="A2" s="89">
        <v>1</v>
      </c>
      <c r="B2" s="16" t="str">
        <f>IF(Resultate!$H$31=Resultate!$J$31,"1. Rang",IF(Resultate!$H$31&gt;Resultate!$J$31,Resultate!$E$31,Resultate!$G$31))</f>
        <v>1. Rang</v>
      </c>
      <c r="C2" s="16" t="str">
        <f>IF(B2="1. Rang","mal schauen",VLOOKUP(B2,Anmeldung!$L$2:$M$25,2,FALSE))</f>
        <v>mal schauen</v>
      </c>
      <c r="D2" s="100" t="str">
        <f>IF(B2="1. Rang","zu Hause",VLOOKUP(B2,Anmeldung!$I$2:$J$25,2,FALSE))</f>
        <v>zu Hause</v>
      </c>
      <c r="E2" s="32"/>
    </row>
    <row r="3" spans="1:5" ht="15.75" customHeight="1">
      <c r="A3" s="89">
        <f>SUM(A2,1)</f>
        <v>2</v>
      </c>
      <c r="B3" s="16" t="str">
        <f>IF(Resultate!$H$31=Resultate!$J$31,"2. Rang",IF(Resultate!$H$31&lt;Resultate!$J$31,Resultate!$E$31,Resultate!$G$31))</f>
        <v>2. Rang</v>
      </c>
      <c r="C3" s="16" t="str">
        <f>IF(B3="2. Rang","mal schauen",VLOOKUP(B3,Anmeldung!$L$2:$M$25,2,FALSE))</f>
        <v>mal schauen</v>
      </c>
      <c r="D3" s="100" t="str">
        <f>IF(B3="2. Rang","zu Hause",VLOOKUP(B3,Anmeldung!$I$2:$J$25,2,FALSE))</f>
        <v>zu Hause</v>
      </c>
      <c r="E3" s="32"/>
    </row>
    <row r="4" spans="1:5" ht="15.75" customHeight="1">
      <c r="A4" s="89">
        <f>SUM(A3,1)</f>
        <v>3</v>
      </c>
      <c r="B4" s="16" t="str">
        <f>IF(Resultate!$H$30=Resultate!$J$30,"3. Rang",IF(Resultate!$H$30&gt;Resultate!$J$30,Resultate!$E$30,Resultate!$G$30))</f>
        <v>3. Rang</v>
      </c>
      <c r="C4" s="16" t="str">
        <f>IF(B4="3. Rang","mal schauen",VLOOKUP(B4,Anmeldung!$L$2:$M$25,2,FALSE))</f>
        <v>mal schauen</v>
      </c>
      <c r="D4" s="100" t="str">
        <f>IF(B4="3. Rang","zu Hause",VLOOKUP(B4,Anmeldung!$I$2:$J$25,2,FALSE))</f>
        <v>zu Hause</v>
      </c>
      <c r="E4" s="32"/>
    </row>
    <row r="5" spans="1:5" ht="15.75" customHeight="1">
      <c r="A5" s="89">
        <f>SUM(A4,1)</f>
        <v>4</v>
      </c>
      <c r="B5" s="16" t="str">
        <f>IF(Resultate!$H$30=Resultate!$J$30,"4. Rang",IF(Resultate!$H$30&lt;Resultate!$J$30,Resultate!$E$30,Resultate!$G$30))</f>
        <v>4. Rang</v>
      </c>
      <c r="C5" s="16" t="str">
        <f>IF(B5="4. Rang","mal schauen",VLOOKUP(B5,Anmeldung!$L$2:$M$25,2,FALSE))</f>
        <v>mal schauen</v>
      </c>
      <c r="D5" s="100" t="str">
        <f>IF(B5="4. Rang","zu Hause",VLOOKUP(B5,Anmeldung!$I$2:$J$25,2,FALSE))</f>
        <v>zu Hause</v>
      </c>
      <c r="E5" s="32"/>
    </row>
    <row r="6" spans="1:5" ht="15.75" customHeight="1">
      <c r="A6" s="89">
        <f>SUM(A5,1)</f>
        <v>5</v>
      </c>
      <c r="B6" s="16" t="str">
        <f>IF(Resultate!$H18=Resultate!$J18,"5. Rang",IF(Resultate!$H18&lt;Resultate!$J18,Resultate!$E18,Resultate!$G18))</f>
        <v>5. Rang</v>
      </c>
      <c r="C6" s="16" t="str">
        <f>IF(B6="5. Rang","mal schauen",VLOOKUP(B6,Anmeldung!$L$2:$M$25,2,FALSE))</f>
        <v>mal schauen</v>
      </c>
      <c r="D6" s="100" t="str">
        <f>IF(B6="5. Rang","zu Hause",VLOOKUP(B6,Anmeldung!$I$2:$J$25,2,FALSE))</f>
        <v>zu Hause</v>
      </c>
      <c r="E6" s="32"/>
    </row>
    <row r="7" spans="1:5" ht="15.75" customHeight="1">
      <c r="A7" s="89">
        <v>5</v>
      </c>
      <c r="B7" s="16" t="str">
        <f>IF(Resultate!$H19=Resultate!$J19,"5. Rang",IF(Resultate!$H19&lt;Resultate!$J19,Resultate!$E19,Resultate!$G19))</f>
        <v>5. Rang</v>
      </c>
      <c r="C7" s="16" t="str">
        <f>IF(B7="5. Rang","mal schauen",VLOOKUP(B7,Anmeldung!$L$2:$M$25,2,FALSE))</f>
        <v>mal schauen</v>
      </c>
      <c r="D7" s="100" t="str">
        <f>IF(B7="5. Rang","zu Hause",VLOOKUP(B7,Anmeldung!$I$2:$J$25,2,FALSE))</f>
        <v>zu Hause</v>
      </c>
      <c r="E7" s="32"/>
    </row>
    <row r="8" spans="1:5" ht="15.75" customHeight="1">
      <c r="A8" s="89">
        <v>5</v>
      </c>
      <c r="B8" s="16" t="str">
        <f>IF(Resultate!$H20=Resultate!$J20,"5. Rang",IF(Resultate!$H20&lt;Resultate!$J20,Resultate!$E20,Resultate!$G20))</f>
        <v>5. Rang</v>
      </c>
      <c r="C8" s="16" t="str">
        <f>IF(B8="5. Rang","mal schauen",VLOOKUP(B8,Anmeldung!$L$2:$M$25,2,FALSE))</f>
        <v>mal schauen</v>
      </c>
      <c r="D8" s="100" t="str">
        <f>IF(B8="5. Rang","zu Hause",VLOOKUP(B8,Anmeldung!$I$2:$J$25,2,FALSE))</f>
        <v>zu Hause</v>
      </c>
      <c r="E8" s="32"/>
    </row>
    <row r="9" spans="1:5" ht="15.75" customHeight="1">
      <c r="A9" s="89">
        <v>5</v>
      </c>
      <c r="B9" s="16" t="str">
        <f>IF(Resultate!$H21=Resultate!$J21,"5. Rang",IF(Resultate!$H21&lt;Resultate!$J21,Resultate!$E21,Resultate!$G21))</f>
        <v>5. Rang</v>
      </c>
      <c r="C9" s="16" t="str">
        <f>IF(B9="5. Rang","mal schauen",VLOOKUP(B9,Anmeldung!$L$2:$M$25,2,FALSE))</f>
        <v>mal schauen</v>
      </c>
      <c r="D9" s="100" t="str">
        <f>IF(B9="5. Rang","zu Hause",VLOOKUP(B9,Anmeldung!$I$2:$J$25,2,FALSE))</f>
        <v>zu Hause</v>
      </c>
      <c r="E9" s="32"/>
    </row>
    <row r="10" spans="1:5" ht="15.75" customHeight="1">
      <c r="A10" s="89">
        <v>9</v>
      </c>
      <c r="B10" s="16" t="str">
        <f>IF(Resultate!$H10=Resultate!$J10,"9. Rang",IF(Resultate!$H10&lt;Resultate!$J10,Resultate!$E10,Resultate!$G10))</f>
        <v>9. Rang</v>
      </c>
      <c r="C10" s="16" t="str">
        <f>IF(B10="9. Rang","mal schauen",VLOOKUP(B10,Anmeldung!$L$2:$M$25,2,FALSE))</f>
        <v>mal schauen</v>
      </c>
      <c r="D10" s="100" t="str">
        <f>IF(B10="9. Rang","zu Hause",VLOOKUP(B10,Anmeldung!$I$2:$J$25,2,FALSE))</f>
        <v>zu Hause</v>
      </c>
      <c r="E10" s="32"/>
    </row>
    <row r="11" spans="1:5" ht="15.75" customHeight="1">
      <c r="A11" s="89">
        <v>9</v>
      </c>
      <c r="B11" s="16" t="str">
        <f>IF(Resultate!$H11=Resultate!$J11,"9. Rang",IF(Resultate!$H11&lt;Resultate!$J11,Resultate!$E11,Resultate!$G11))</f>
        <v>9. Rang</v>
      </c>
      <c r="C11" s="16" t="str">
        <f>IF(B11="9. Rang","mal schauen",VLOOKUP(B11,Anmeldung!$L$2:$M$25,2,FALSE))</f>
        <v>mal schauen</v>
      </c>
      <c r="D11" s="100" t="str">
        <f>IF(B11="9. Rang","zu Hause",VLOOKUP(B11,Anmeldung!$I$2:$J$25,2,FALSE))</f>
        <v>zu Hause</v>
      </c>
      <c r="E11" s="32"/>
    </row>
    <row r="12" spans="1:5" ht="15.75" customHeight="1">
      <c r="A12" s="89">
        <v>9</v>
      </c>
      <c r="B12" s="16" t="str">
        <f>IF(Resultate!$H12=Resultate!$J12,"9. Rang",IF(Resultate!$H12&lt;Resultate!$J12,Resultate!$E12,Resultate!$G12))</f>
        <v>9. Rang</v>
      </c>
      <c r="C12" s="16" t="str">
        <f>IF(B12="9. Rang","mal schauen",VLOOKUP(B12,Anmeldung!$L$2:$M$25,2,FALSE))</f>
        <v>mal schauen</v>
      </c>
      <c r="D12" s="100" t="str">
        <f>IF(B12="9. Rang","zu Hause",VLOOKUP(B12,Anmeldung!$I$2:$J$25,2,FALSE))</f>
        <v>zu Hause</v>
      </c>
      <c r="E12" s="32"/>
    </row>
    <row r="13" spans="1:5" ht="15.75" customHeight="1">
      <c r="A13" s="89">
        <v>9</v>
      </c>
      <c r="B13" s="16" t="str">
        <f>IF(Resultate!$H13=Resultate!$J13,"9. Rang",IF(Resultate!$H13&lt;Resultate!$J13,Resultate!$E13,Resultate!$G13))</f>
        <v>9. Rang</v>
      </c>
      <c r="C13" s="16" t="str">
        <f>IF(B13="9. Rang","mal schauen",VLOOKUP(B13,Anmeldung!$L$2:$M$25,2,FALSE))</f>
        <v>mal schauen</v>
      </c>
      <c r="D13" s="100" t="str">
        <f>IF(B13="9. Rang","zu Hause",VLOOKUP(B13,Anmeldung!$I$2:$J$25,2,FALSE))</f>
        <v>zu Hause</v>
      </c>
      <c r="E13" s="32"/>
    </row>
    <row r="14" spans="1:5" ht="15.75" customHeight="1">
      <c r="A14" s="89">
        <v>9</v>
      </c>
      <c r="B14" s="16" t="str">
        <f>IF(Resultate!$H14=Resultate!$J14,"9. Rang",IF(Resultate!$H14&lt;Resultate!$J14,Resultate!$E14,Resultate!$G14))</f>
        <v>9. Rang</v>
      </c>
      <c r="C14" s="16" t="str">
        <f>IF(B14="9. Rang","mal schauen",VLOOKUP(B14,Anmeldung!$L$2:$M$25,2,FALSE))</f>
        <v>mal schauen</v>
      </c>
      <c r="D14" s="100" t="str">
        <f>IF(B14="9. Rang","zu Hause",VLOOKUP(B14,Anmeldung!$I$2:$J$25,2,FALSE))</f>
        <v>zu Hause</v>
      </c>
      <c r="E14" s="32"/>
    </row>
    <row r="15" spans="1:5" ht="15.75" customHeight="1">
      <c r="A15" s="89">
        <v>9</v>
      </c>
      <c r="B15" s="16" t="str">
        <f>IF(Resultate!$H15=Resultate!$J15,"9. Rang",IF(Resultate!$H15&lt;Resultate!$J15,Resultate!$E15,Resultate!$G15))</f>
        <v>9. Rang</v>
      </c>
      <c r="C15" s="16" t="str">
        <f>IF(B15="9. Rang","mal schauen",VLOOKUP(B15,Anmeldung!$L$2:$M$25,2,FALSE))</f>
        <v>mal schauen</v>
      </c>
      <c r="D15" s="100" t="str">
        <f>IF(B15="9. Rang","zu Hause",VLOOKUP(B15,Anmeldung!$I$2:$J$25,2,FALSE))</f>
        <v>zu Hause</v>
      </c>
      <c r="E15" s="32"/>
    </row>
    <row r="16" spans="1:5" ht="15.75" customHeight="1">
      <c r="A16" s="89">
        <v>9</v>
      </c>
      <c r="B16" s="16" t="str">
        <f>IF(Resultate!$H16=Resultate!$J16,"9. Rang",IF(Resultate!$H16&lt;Resultate!$J16,Resultate!$E16,Resultate!$G16))</f>
        <v>9. Rang</v>
      </c>
      <c r="C16" s="16" t="str">
        <f>IF(B16="9. Rang","mal schauen",VLOOKUP(B16,Anmeldung!$L$2:$M$25,2,FALSE))</f>
        <v>mal schauen</v>
      </c>
      <c r="D16" s="100" t="str">
        <f>IF(B16="9. Rang","zu Hause",VLOOKUP(B16,Anmeldung!$I$2:$J$25,2,FALSE))</f>
        <v>zu Hause</v>
      </c>
      <c r="E16" s="32"/>
    </row>
    <row r="17" spans="1:5" ht="15.75" customHeight="1">
      <c r="A17" s="89">
        <v>9</v>
      </c>
      <c r="B17" s="16" t="str">
        <f>IF(Resultate!$H17=Resultate!$J17,"9. Rang",IF(Resultate!$H17&lt;Resultate!$J17,Resultate!$E17,Resultate!$G17))</f>
        <v>9. Rang</v>
      </c>
      <c r="C17" s="16" t="str">
        <f>IF(B17="9. Rang","mal schauen",VLOOKUP(B17,Anmeldung!$L$2:$M$25,2,FALSE))</f>
        <v>mal schauen</v>
      </c>
      <c r="D17" s="100" t="str">
        <f>IF(B17="9. Rang","zu Hause",VLOOKUP(B17,Anmeldung!$I$2:$J$25,2,FALSE))</f>
        <v>zu Hause</v>
      </c>
      <c r="E17" s="32"/>
    </row>
    <row r="18" spans="1:5" ht="15.75" customHeight="1">
      <c r="A18" s="89">
        <v>17</v>
      </c>
      <c r="B18" s="16" t="str">
        <f>IF(Resultate!$H2=Resultate!$J2,"17. Rang",IF(Resultate!$H2&lt;Resultate!$J2,Resultate!$E2,Resultate!$G2))</f>
        <v>17. Rang</v>
      </c>
      <c r="C18" s="16" t="str">
        <f>IF(B18="17. Rang","mal schauen",VLOOKUP(B18,Anmeldung!$L$2:$M$25,2,FALSE))</f>
        <v>mal schauen</v>
      </c>
      <c r="D18" s="100" t="str">
        <f>IF(B18="17. Rang","zu Hause",VLOOKUP(B18,Anmeldung!$I$2:$J$25,2,FALSE))</f>
        <v>zu Hause</v>
      </c>
      <c r="E18" s="32"/>
    </row>
    <row r="19" spans="1:5" ht="15.75" customHeight="1">
      <c r="A19" s="89">
        <v>17</v>
      </c>
      <c r="B19" s="16" t="str">
        <f>IF(Resultate!$H3=Resultate!$J3,"17. Rang",IF(Resultate!$H3&lt;Resultate!$J3,Resultate!$E3,Resultate!$G3))</f>
        <v>17. Rang</v>
      </c>
      <c r="C19" s="16" t="str">
        <f>IF(B19="17. Rang","mal schauen",VLOOKUP(B19,Anmeldung!$L$2:$M$25,2,FALSE))</f>
        <v>mal schauen</v>
      </c>
      <c r="D19" s="100" t="str">
        <f>IF(B19="17. Rang","zu Hause",VLOOKUP(B19,Anmeldung!$I$2:$J$25,2,FALSE))</f>
        <v>zu Hause</v>
      </c>
      <c r="E19" s="32"/>
    </row>
    <row r="20" spans="1:5" ht="15.75" customHeight="1">
      <c r="A20" s="89">
        <v>17</v>
      </c>
      <c r="B20" s="16" t="str">
        <f>IF(Resultate!$H4=Resultate!$J4,"17. Rang",IF(Resultate!$H4&lt;Resultate!$J4,Resultate!$E4,Resultate!$G4))</f>
        <v>17. Rang</v>
      </c>
      <c r="C20" s="16" t="str">
        <f>IF(B20="17. Rang","mal schauen",VLOOKUP(B20,Anmeldung!$L$2:$M$25,2,FALSE))</f>
        <v>mal schauen</v>
      </c>
      <c r="D20" s="100" t="str">
        <f>IF(B20="17. Rang","zu Hause",VLOOKUP(B20,Anmeldung!$I$2:$J$25,2,FALSE))</f>
        <v>zu Hause</v>
      </c>
      <c r="E20" s="32"/>
    </row>
    <row r="21" spans="1:5" ht="15.75" customHeight="1">
      <c r="A21" s="89">
        <v>17</v>
      </c>
      <c r="B21" s="16" t="str">
        <f>IF(Resultate!$H5=Resultate!$J5,"17. Rang",IF(Resultate!$H5&lt;Resultate!$J5,Resultate!$E5,Resultate!$G5))</f>
        <v>17. Rang</v>
      </c>
      <c r="C21" s="16" t="str">
        <f>IF(B21="17. Rang","mal schauen",VLOOKUP(B21,Anmeldung!$L$2:$M$25,2,FALSE))</f>
        <v>mal schauen</v>
      </c>
      <c r="D21" s="100" t="str">
        <f>IF(B21="17. Rang","zu Hause",VLOOKUP(B21,Anmeldung!$I$2:$J$25,2,FALSE))</f>
        <v>zu Hause</v>
      </c>
      <c r="E21" s="32"/>
    </row>
    <row r="22" spans="1:5" ht="15.75" customHeight="1">
      <c r="A22" s="89">
        <v>17</v>
      </c>
      <c r="B22" s="16" t="str">
        <f>IF(Resultate!$H6=Resultate!$J6,"17. Rang",IF(Resultate!$H6&lt;Resultate!$J6,Resultate!$E6,Resultate!$G6))</f>
        <v>17. Rang</v>
      </c>
      <c r="C22" s="16" t="str">
        <f>IF(B22="17. Rang","mal schauen",VLOOKUP(B22,Anmeldung!$L$2:$M$25,2,FALSE))</f>
        <v>mal schauen</v>
      </c>
      <c r="D22" s="100" t="str">
        <f>IF(B22="17. Rang","zu Hause",VLOOKUP(B22,Anmeldung!$I$2:$J$25,2,FALSE))</f>
        <v>zu Hause</v>
      </c>
      <c r="E22" s="32"/>
    </row>
    <row r="23" spans="1:5" ht="15.75" customHeight="1">
      <c r="A23" s="89">
        <v>17</v>
      </c>
      <c r="B23" s="16" t="str">
        <f>IF(Resultate!$H7=Resultate!$J7,"17. Rang",IF(Resultate!$H7&lt;Resultate!$J7,Resultate!$E7,Resultate!$G7))</f>
        <v>17. Rang</v>
      </c>
      <c r="C23" s="16" t="str">
        <f>IF(B23="17. Rang","mal schauen",VLOOKUP(B23,Anmeldung!$L$2:$M$25,2,FALSE))</f>
        <v>mal schauen</v>
      </c>
      <c r="D23" s="100" t="str">
        <f>IF(B23="17. Rang","zu Hause",VLOOKUP(B23,Anmeldung!$I$2:$J$25,2,FALSE))</f>
        <v>zu Hause</v>
      </c>
      <c r="E23" s="32"/>
    </row>
    <row r="24" spans="1:5" ht="15.75" customHeight="1">
      <c r="A24" s="89">
        <v>17</v>
      </c>
      <c r="B24" s="16" t="str">
        <f>IF(Resultate!$H8=Resultate!$J8,"17. Rang",IF(Resultate!$H8&lt;Resultate!$J8,Resultate!$E8,Resultate!$G8))</f>
        <v>17. Rang</v>
      </c>
      <c r="C24" s="16" t="str">
        <f>IF(B24="17. Rang","mal schauen",VLOOKUP(B24,Anmeldung!$L$2:$M$25,2,FALSE))</f>
        <v>mal schauen</v>
      </c>
      <c r="D24" s="100" t="str">
        <f>IF(B24="17. Rang","zu Hause",VLOOKUP(B24,Anmeldung!$I$2:$J$25,2,FALSE))</f>
        <v>zu Hause</v>
      </c>
      <c r="E24" s="32"/>
    </row>
    <row r="25" spans="1:5" ht="15.75" customHeight="1">
      <c r="A25" s="89">
        <v>17</v>
      </c>
      <c r="B25" s="16" t="str">
        <f>IF(Resultate!$H9=Resultate!$J9,"17. Rang",IF(Resultate!$H9&lt;Resultate!$J9,Resultate!$E9,Resultate!$G9))</f>
        <v>17. Rang</v>
      </c>
      <c r="C25" s="16" t="str">
        <f>IF(B25="17. Rang","mal schauen",VLOOKUP(B25,Anmeldung!$L$2:$M$25,2,FALSE))</f>
        <v>mal schauen</v>
      </c>
      <c r="D25" s="100" t="str">
        <f>IF(B25="17. Rang","zu Hause",VLOOKUP(B25,Anmeldung!$I$2:$J$25,2,FALSE))</f>
        <v>zu Hause</v>
      </c>
      <c r="E25" s="32"/>
    </row>
    <row r="26" spans="1:5" ht="12.75">
      <c r="A26" s="34"/>
      <c r="B26" s="32"/>
      <c r="C26" s="32"/>
      <c r="D26" s="32"/>
      <c r="E26" s="32"/>
    </row>
    <row r="27" spans="1:5" ht="12.75">
      <c r="A27" s="78" t="s">
        <v>54</v>
      </c>
      <c r="B27" s="32"/>
      <c r="C27" s="32"/>
      <c r="D27" s="32"/>
      <c r="E27" s="32"/>
    </row>
    <row r="28" spans="1:5" ht="12.75">
      <c r="A28" s="34"/>
      <c r="B28" s="32"/>
      <c r="C28" s="32"/>
      <c r="D28" s="32"/>
      <c r="E28" s="32"/>
    </row>
  </sheetData>
  <sheetProtection password="CCA4" sheet="1" formatCells="0" formatColumns="0" formatRows="0" selectLockedCells="1"/>
  <printOptions gridLines="1" horizontalCentered="1"/>
  <pageMargins left="0.1968503937007874" right="0.1968503937007874" top="1.299212598425197" bottom="0.984251968503937" header="0.5118110236220472" footer="0.5118110236220472"/>
  <pageSetup orientation="portrait" paperSize="9" scale="120" r:id="rId1"/>
  <headerFooter alignWithMargins="0">
    <oddHeader>&amp;L&amp;8&amp;F&amp;C&amp;"Arial,Fett"&amp;12
Schlussrangliste 24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2020-04-07T09:56:16Z</cp:lastPrinted>
  <dcterms:created xsi:type="dcterms:W3CDTF">1997-01-17T14:30:38Z</dcterms:created>
  <dcterms:modified xsi:type="dcterms:W3CDTF">2020-04-07T09:56:29Z</dcterms:modified>
  <cp:category/>
  <cp:version/>
  <cp:contentType/>
  <cp:contentStatus/>
</cp:coreProperties>
</file>