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'Anmeldung'!$A$1:$L$33</definedName>
    <definedName name="_xlnm.Print_Area" localSheetId="5">'Rangliste'!$A$1:$C$25</definedName>
    <definedName name="_xlnm.Print_Area" localSheetId="2">'RankSeed'!$A$1:$N$36</definedName>
    <definedName name="_xlnm.Print_Area" localSheetId="3">'Resultate'!$A$1:$T$13</definedName>
    <definedName name="_xlnm.Print_Area" localSheetId="4">'Tableau'!$A$1:$F$35</definedName>
    <definedName name="_xlnm.Print_Area" localSheetId="1">'Vorrunde'!$A$1:$T$61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<sst xmlns="http://schemas.openxmlformats.org/spreadsheetml/2006/main" count="573" uniqueCount="82">
  <si>
    <t>Seed</t>
  </si>
  <si>
    <t>Player 1</t>
  </si>
  <si>
    <t>Vorname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</si>
  <si>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</si>
  <si>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</si>
  <si>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</si>
  <si>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</si>
  <si>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</si>
  <si>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</si>
  <si>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</si>
  <si>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</si>
  <si>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</si>
  <si>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</si>
  <si>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</si>
  <si>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</si>
  <si>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</si>
  <si>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</si>
  <si>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</si>
  <si>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</si>
  <si>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</si>
  <si>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</si>
  <si>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</si>
  <si>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</si>
  <si>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</si>
  <si>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</si>
  <si>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</si>
  <si>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</si>
  <si>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</si>
  <si>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</si>
  <si>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</si>
  <si>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</si>
  <si>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</si>
  <si>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</si>
  <si>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</si>
  <si>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</si>
  <si>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</si>
  <si>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</si>
  <si>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</si>
  <si>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</si>
  <si>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</si>
  <si>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</si>
  <si>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</si>
  <si>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</si>
  <si>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</si>
  <si>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</si>
  <si>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</si>
  <si>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</si>
  <si>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</si>
  <si>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</si>
  <si>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Gruppe C</t>
  </si>
  <si>
    <t>Gruppe D</t>
  </si>
  <si>
    <t>C</t>
  </si>
  <si>
    <t>D</t>
  </si>
  <si>
    <t>C1</t>
  </si>
  <si>
    <t>D1</t>
  </si>
  <si>
    <t>C2</t>
  </si>
  <si>
    <t>D2</t>
  </si>
  <si>
    <t>C3</t>
  </si>
  <si>
    <t>D3</t>
  </si>
  <si>
    <t>C4</t>
  </si>
  <si>
    <t>D4</t>
  </si>
  <si>
    <t>C5</t>
  </si>
  <si>
    <t>D5</t>
  </si>
  <si>
    <t>Rangierung</t>
  </si>
  <si>
    <t>SF</t>
  </si>
  <si>
    <t>Finale</t>
  </si>
  <si>
    <t>3./4. Rang</t>
  </si>
  <si>
    <t>Richtzeit</t>
  </si>
  <si>
    <t>II</t>
  </si>
  <si>
    <t>3. Satz</t>
  </si>
  <si>
    <t>A6</t>
  </si>
  <si>
    <t>B6</t>
  </si>
  <si>
    <t>C6</t>
  </si>
  <si>
    <t>D6</t>
  </si>
  <si>
    <t>1. Satzverhältnis aller Gruppenspiele (Diff)</t>
  </si>
  <si>
    <t>2. Verhältnis der erspielten Punkte (RQ)</t>
  </si>
  <si>
    <t>3. Los</t>
  </si>
  <si>
    <r>
      <t xml:space="preserve">Bei identischen Rängen von </t>
    </r>
    <r>
      <rPr>
        <b/>
        <sz val="10"/>
        <rFont val="Arial"/>
        <family val="2"/>
      </rPr>
      <t>2 Teams</t>
    </r>
    <r>
      <rPr>
        <sz val="10"/>
        <rFont val="Arial"/>
        <family val="0"/>
      </rPr>
      <t>,</t>
    </r>
  </si>
  <si>
    <t>Rang von Hand eingeben:</t>
  </si>
  <si>
    <t>1. Direkte Begegnung</t>
  </si>
  <si>
    <r>
      <t xml:space="preserve">Bei identischen Rängen von </t>
    </r>
    <r>
      <rPr>
        <b/>
        <sz val="10"/>
        <rFont val="Arial"/>
        <family val="2"/>
      </rPr>
      <t>3 oder mehr Teams</t>
    </r>
    <r>
      <rPr>
        <sz val="10"/>
        <rFont val="Arial"/>
        <family val="0"/>
      </rPr>
      <t xml:space="preserve">, </t>
    </r>
  </si>
  <si>
    <t>Lizenz</t>
  </si>
</sst>
</file>

<file path=xl/styles.xml><?xml version="1.0" encoding="utf-8"?>
<styleSheet xmlns="http://schemas.openxmlformats.org/spreadsheetml/2006/main">
  <numFmts count="5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  <numFmt numFmtId="203" formatCode="&quot;Fr.&quot;\ #,##0.00"/>
    <numFmt numFmtId="204" formatCode="hh:mm:ss;@"/>
    <numFmt numFmtId="205" formatCode="0.0000"/>
    <numFmt numFmtId="206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4" fillId="18" borderId="29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7" borderId="30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0" xfId="0" applyFill="1" applyAlignment="1">
      <alignment/>
    </xf>
    <xf numFmtId="205" fontId="0" fillId="0" borderId="21" xfId="0" applyNumberFormat="1" applyBorder="1" applyAlignment="1">
      <alignment horizontal="center"/>
    </xf>
    <xf numFmtId="205" fontId="0" fillId="0" borderId="22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0" fontId="4" fillId="7" borderId="25" xfId="0" applyNumberFormat="1" applyFont="1" applyFill="1" applyBorder="1" applyAlignment="1" applyProtection="1">
      <alignment horizontal="center" vertical="center"/>
      <protection locked="0"/>
    </xf>
    <xf numFmtId="0" fontId="4" fillId="7" borderId="19" xfId="0" applyFont="1" applyFill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7" borderId="34" xfId="0" applyFont="1" applyFill="1" applyBorder="1" applyAlignment="1" applyProtection="1">
      <alignment horizontal="center" vertical="center"/>
      <protection locked="0"/>
    </xf>
    <xf numFmtId="20" fontId="4" fillId="7" borderId="34" xfId="0" applyNumberFormat="1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206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18" borderId="22" xfId="0" applyFont="1" applyFill="1" applyBorder="1" applyAlignment="1" applyProtection="1">
      <alignment horizontal="center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18" borderId="27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18" borderId="19" xfId="0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9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37" fontId="5" fillId="0" borderId="23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37" fontId="1" fillId="19" borderId="2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24" fillId="0" borderId="36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25" xfId="0" applyNumberFormat="1" applyFont="1" applyBorder="1" applyAlignment="1">
      <alignment horizontal="left" vertical="center"/>
    </xf>
    <xf numFmtId="0" fontId="24" fillId="0" borderId="24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26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5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20" fontId="4" fillId="7" borderId="19" xfId="0" applyNumberFormat="1" applyFont="1" applyFill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Continuous" vertical="center"/>
    </xf>
    <xf numFmtId="0" fontId="5" fillId="0" borderId="38" xfId="0" applyFont="1" applyFill="1" applyBorder="1" applyAlignment="1">
      <alignment horizontal="center" vertical="center" textRotation="90" wrapText="1"/>
    </xf>
    <xf numFmtId="0" fontId="5" fillId="0" borderId="41" xfId="0" applyFont="1" applyFill="1" applyBorder="1" applyAlignment="1">
      <alignment horizontal="centerContinuous" vertical="center"/>
    </xf>
    <xf numFmtId="16" fontId="4" fillId="7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37" fontId="1" fillId="1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36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24" fillId="0" borderId="23" xfId="0" applyFont="1" applyBorder="1" applyAlignment="1">
      <alignment horizontal="left" vertical="center"/>
    </xf>
    <xf numFmtId="37" fontId="5" fillId="0" borderId="22" xfId="0" applyNumberFormat="1" applyFont="1" applyBorder="1" applyAlignment="1">
      <alignment horizontal="left" vertical="center"/>
    </xf>
    <xf numFmtId="37" fontId="24" fillId="0" borderId="24" xfId="0" applyNumberFormat="1" applyFont="1" applyBorder="1" applyAlignment="1">
      <alignment horizontal="left" vertical="center"/>
    </xf>
    <xf numFmtId="37" fontId="24" fillId="0" borderId="25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4" fillId="0" borderId="19" xfId="0" applyFont="1" applyBorder="1" applyAlignment="1">
      <alignment horizontal="left" vertical="center"/>
    </xf>
    <xf numFmtId="0" fontId="24" fillId="0" borderId="22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0" borderId="0" xfId="53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0" xfId="0" applyFont="1" applyFill="1" applyBorder="1" applyAlignment="1">
      <alignment horizontal="left"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 horizontal="left"/>
    </xf>
    <xf numFmtId="0" fontId="0" fillId="0" borderId="0" xfId="53" applyFill="1" applyBorder="1" applyAlignment="1">
      <alignment horizont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/>
    </xf>
    <xf numFmtId="206" fontId="4" fillId="0" borderId="43" xfId="0" applyNumberFormat="1" applyFont="1" applyBorder="1" applyAlignment="1" applyProtection="1">
      <alignment horizontal="center" vertical="center"/>
      <protection/>
    </xf>
    <xf numFmtId="0" fontId="4" fillId="18" borderId="39" xfId="0" applyFont="1" applyFill="1" applyBorder="1" applyAlignment="1" applyProtection="1">
      <alignment horizontal="center" vertical="center"/>
      <protection locked="0"/>
    </xf>
    <xf numFmtId="0" fontId="4" fillId="18" borderId="43" xfId="0" applyFont="1" applyFill="1" applyBorder="1" applyAlignment="1" applyProtection="1">
      <alignment horizontal="center" vertical="center"/>
      <protection locked="0"/>
    </xf>
    <xf numFmtId="0" fontId="4" fillId="7" borderId="3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Continuous" vertical="center"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 applyProtection="1">
      <alignment horizontal="centerContinuous" vertical="center"/>
      <protection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>
      <alignment horizontal="centerContinuous" vertical="center"/>
    </xf>
    <xf numFmtId="0" fontId="5" fillId="0" borderId="4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6.140625" style="2" customWidth="1"/>
    <col min="5" max="5" width="13.140625" style="0" customWidth="1"/>
    <col min="6" max="6" width="10.7109375" style="2" customWidth="1"/>
    <col min="7" max="7" width="6.281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hidden="1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81</v>
      </c>
      <c r="E1" s="13" t="s">
        <v>3</v>
      </c>
      <c r="F1" s="13" t="s">
        <v>2</v>
      </c>
      <c r="G1" s="14" t="s">
        <v>81</v>
      </c>
      <c r="H1" s="14" t="s">
        <v>4</v>
      </c>
      <c r="I1" s="15" t="s">
        <v>5</v>
      </c>
      <c r="J1" s="14" t="s">
        <v>6</v>
      </c>
      <c r="K1" s="14" t="s">
        <v>7</v>
      </c>
      <c r="L1" s="178"/>
      <c r="M1" s="73" t="s">
        <v>5</v>
      </c>
      <c r="N1" s="76" t="s">
        <v>45</v>
      </c>
    </row>
    <row r="2" spans="1:14" s="11" customFormat="1" ht="13.5" customHeight="1" thickTop="1">
      <c r="A2" s="6">
        <v>1</v>
      </c>
      <c r="B2" s="71"/>
      <c r="C2" s="69"/>
      <c r="D2" s="51"/>
      <c r="E2" s="71"/>
      <c r="F2" s="69"/>
      <c r="G2" s="186"/>
      <c r="H2" s="51"/>
      <c r="I2" s="4" t="str">
        <f>CONCATENATE($B$2," / ",$E$2)</f>
        <v> / </v>
      </c>
      <c r="J2" s="69"/>
      <c r="K2" s="179"/>
      <c r="L2" s="29">
        <v>1</v>
      </c>
      <c r="M2" s="74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72"/>
      <c r="C3" s="70"/>
      <c r="D3" s="52"/>
      <c r="E3" s="72"/>
      <c r="F3" s="70"/>
      <c r="G3" s="187"/>
      <c r="H3" s="52"/>
      <c r="I3" s="5" t="str">
        <f>CONCATENATE($B$3," / ",$E$3)</f>
        <v> / </v>
      </c>
      <c r="J3" s="70"/>
      <c r="K3" s="8"/>
      <c r="L3" s="8">
        <v>2</v>
      </c>
      <c r="M3" s="75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72"/>
      <c r="C4" s="70"/>
      <c r="D4" s="52"/>
      <c r="E4" s="72"/>
      <c r="F4" s="70"/>
      <c r="G4" s="187"/>
      <c r="H4" s="52"/>
      <c r="I4" s="5" t="str">
        <f>CONCATENATE($B$4," / ",$E$4)</f>
        <v> / </v>
      </c>
      <c r="J4" s="70"/>
      <c r="K4" s="8"/>
      <c r="L4" s="29">
        <v>3</v>
      </c>
      <c r="M4" s="75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72"/>
      <c r="C5" s="70"/>
      <c r="D5" s="52"/>
      <c r="E5" s="72"/>
      <c r="F5" s="70"/>
      <c r="G5" s="187"/>
      <c r="H5" s="52"/>
      <c r="I5" s="5" t="str">
        <f>CONCATENATE($B$5," / ",$E$5)</f>
        <v> / </v>
      </c>
      <c r="J5" s="70"/>
      <c r="K5" s="8"/>
      <c r="L5" s="8">
        <v>4</v>
      </c>
      <c r="M5" s="75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72"/>
      <c r="C6" s="70"/>
      <c r="D6" s="52"/>
      <c r="E6" s="72"/>
      <c r="F6" s="70"/>
      <c r="G6" s="187"/>
      <c r="H6" s="52"/>
      <c r="I6" s="5" t="str">
        <f>CONCATENATE($B$6," / ",$E$6)</f>
        <v> / </v>
      </c>
      <c r="J6" s="70"/>
      <c r="K6" s="8"/>
      <c r="L6" s="29">
        <v>5</v>
      </c>
      <c r="M6" s="75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72"/>
      <c r="C7" s="70"/>
      <c r="D7" s="52"/>
      <c r="E7" s="72"/>
      <c r="F7" s="70"/>
      <c r="G7" s="187"/>
      <c r="H7" s="52"/>
      <c r="I7" s="5" t="str">
        <f>CONCATENATE($B$7," / ",$E$7)</f>
        <v> / </v>
      </c>
      <c r="J7" s="70"/>
      <c r="K7" s="8"/>
      <c r="L7" s="8">
        <v>6</v>
      </c>
      <c r="M7" s="75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72"/>
      <c r="C8" s="70"/>
      <c r="D8" s="52"/>
      <c r="E8" s="72"/>
      <c r="F8" s="70"/>
      <c r="G8" s="187"/>
      <c r="H8" s="52"/>
      <c r="I8" s="5" t="str">
        <f>CONCATENATE($B$8," / ",$E$8)</f>
        <v> / </v>
      </c>
      <c r="J8" s="70"/>
      <c r="K8" s="8"/>
      <c r="L8" s="29">
        <v>7</v>
      </c>
      <c r="M8" s="75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72"/>
      <c r="C9" s="70"/>
      <c r="D9" s="52"/>
      <c r="E9" s="72"/>
      <c r="F9" s="70"/>
      <c r="G9" s="187"/>
      <c r="H9" s="52"/>
      <c r="I9" s="5" t="str">
        <f>CONCATENATE($B$9," / ",$E$9)</f>
        <v> / </v>
      </c>
      <c r="J9" s="70"/>
      <c r="K9" s="8"/>
      <c r="L9" s="8">
        <v>8</v>
      </c>
      <c r="M9" s="75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72"/>
      <c r="C10" s="70"/>
      <c r="D10" s="52"/>
      <c r="E10" s="72"/>
      <c r="F10" s="70"/>
      <c r="G10" s="187"/>
      <c r="H10" s="52"/>
      <c r="I10" s="5" t="str">
        <f>CONCATENATE($B10," / ",$E10)</f>
        <v> / </v>
      </c>
      <c r="J10" s="70"/>
      <c r="K10" s="8"/>
      <c r="L10" s="29">
        <v>9</v>
      </c>
      <c r="M10" s="75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72"/>
      <c r="C11" s="70"/>
      <c r="D11" s="52"/>
      <c r="E11" s="72"/>
      <c r="F11" s="70"/>
      <c r="G11" s="187"/>
      <c r="H11" s="52"/>
      <c r="I11" s="5" t="str">
        <f>CONCATENATE($B11," / ",$E11)</f>
        <v> / </v>
      </c>
      <c r="J11" s="70"/>
      <c r="K11" s="8"/>
      <c r="L11" s="8">
        <v>10</v>
      </c>
      <c r="M11" s="75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94">
        <v>11</v>
      </c>
      <c r="B12" s="95"/>
      <c r="C12" s="96"/>
      <c r="D12" s="97"/>
      <c r="E12" s="95"/>
      <c r="F12" s="96"/>
      <c r="G12" s="188"/>
      <c r="H12" s="97"/>
      <c r="I12" s="5" t="str">
        <f aca="true" t="shared" si="0" ref="I12:I25">CONCATENATE($B12," / ",$E12)</f>
        <v> / </v>
      </c>
      <c r="J12" s="96"/>
      <c r="K12" s="8"/>
      <c r="L12" s="29">
        <v>11</v>
      </c>
      <c r="M12" s="75" t="str">
        <f aca="true" t="shared" si="1" ref="M12:M25">CONCATENATE($B12," / ",$E12)</f>
        <v> / </v>
      </c>
      <c r="N12" s="5" t="str">
        <f aca="true" t="shared" si="2" ref="N12:N25">CONCATENATE($C12," ",$B12," / ",$F12," ",$E12)</f>
        <v>  /  </v>
      </c>
    </row>
    <row r="13" spans="1:14" s="11" customFormat="1" ht="13.5" customHeight="1">
      <c r="A13" s="7">
        <v>12</v>
      </c>
      <c r="B13" s="72"/>
      <c r="C13" s="70"/>
      <c r="D13" s="52"/>
      <c r="E13" s="72"/>
      <c r="F13" s="70"/>
      <c r="G13" s="187"/>
      <c r="H13" s="52"/>
      <c r="I13" s="5" t="str">
        <f t="shared" si="0"/>
        <v> / </v>
      </c>
      <c r="J13" s="70"/>
      <c r="K13" s="8"/>
      <c r="L13" s="8">
        <v>12</v>
      </c>
      <c r="M13" s="75" t="str">
        <f t="shared" si="1"/>
        <v> / </v>
      </c>
      <c r="N13" s="5" t="str">
        <f t="shared" si="2"/>
        <v>  /  </v>
      </c>
    </row>
    <row r="14" spans="1:14" s="11" customFormat="1" ht="13.5" customHeight="1">
      <c r="A14" s="7">
        <v>13</v>
      </c>
      <c r="B14" s="72"/>
      <c r="C14" s="70"/>
      <c r="D14" s="52"/>
      <c r="E14" s="72"/>
      <c r="F14" s="70"/>
      <c r="G14" s="187"/>
      <c r="H14" s="52"/>
      <c r="I14" s="5" t="str">
        <f t="shared" si="0"/>
        <v> / </v>
      </c>
      <c r="J14" s="70"/>
      <c r="K14" s="8"/>
      <c r="L14" s="29">
        <v>13</v>
      </c>
      <c r="M14" s="75" t="str">
        <f t="shared" si="1"/>
        <v> / </v>
      </c>
      <c r="N14" s="5" t="str">
        <f t="shared" si="2"/>
        <v>  /  </v>
      </c>
    </row>
    <row r="15" spans="1:14" s="11" customFormat="1" ht="13.5" customHeight="1">
      <c r="A15" s="7">
        <v>14</v>
      </c>
      <c r="B15" s="72"/>
      <c r="C15" s="70"/>
      <c r="D15" s="52"/>
      <c r="E15" s="72"/>
      <c r="F15" s="70"/>
      <c r="G15" s="187"/>
      <c r="H15" s="52"/>
      <c r="I15" s="5" t="str">
        <f t="shared" si="0"/>
        <v> / </v>
      </c>
      <c r="J15" s="70"/>
      <c r="K15" s="8"/>
      <c r="L15" s="8">
        <v>14</v>
      </c>
      <c r="M15" s="75" t="str">
        <f t="shared" si="1"/>
        <v> / </v>
      </c>
      <c r="N15" s="5" t="str">
        <f t="shared" si="2"/>
        <v>  /  </v>
      </c>
    </row>
    <row r="16" spans="1:14" s="11" customFormat="1" ht="13.5" customHeight="1">
      <c r="A16" s="7">
        <v>15</v>
      </c>
      <c r="B16" s="72"/>
      <c r="C16" s="70"/>
      <c r="D16" s="52"/>
      <c r="E16" s="72"/>
      <c r="F16" s="70"/>
      <c r="G16" s="187"/>
      <c r="H16" s="52"/>
      <c r="I16" s="5" t="str">
        <f t="shared" si="0"/>
        <v> / </v>
      </c>
      <c r="J16" s="70"/>
      <c r="K16" s="8"/>
      <c r="L16" s="29">
        <v>15</v>
      </c>
      <c r="M16" s="75" t="str">
        <f t="shared" si="1"/>
        <v> / </v>
      </c>
      <c r="N16" s="5" t="str">
        <f t="shared" si="2"/>
        <v>  /  </v>
      </c>
    </row>
    <row r="17" spans="1:14" s="11" customFormat="1" ht="13.5" customHeight="1">
      <c r="A17" s="7">
        <v>16</v>
      </c>
      <c r="B17" s="72"/>
      <c r="C17" s="70"/>
      <c r="D17" s="52"/>
      <c r="E17" s="72"/>
      <c r="F17" s="70"/>
      <c r="G17" s="187"/>
      <c r="H17" s="52"/>
      <c r="I17" s="5" t="str">
        <f t="shared" si="0"/>
        <v> / </v>
      </c>
      <c r="J17" s="70"/>
      <c r="K17" s="8"/>
      <c r="L17" s="8">
        <v>16</v>
      </c>
      <c r="M17" s="75" t="str">
        <f t="shared" si="1"/>
        <v> / </v>
      </c>
      <c r="N17" s="5" t="str">
        <f t="shared" si="2"/>
        <v>  /  </v>
      </c>
    </row>
    <row r="18" spans="1:14" s="11" customFormat="1" ht="13.5" customHeight="1">
      <c r="A18" s="7">
        <v>17</v>
      </c>
      <c r="B18" s="72"/>
      <c r="C18" s="70"/>
      <c r="D18" s="52"/>
      <c r="E18" s="72"/>
      <c r="F18" s="70"/>
      <c r="G18" s="187"/>
      <c r="H18" s="52"/>
      <c r="I18" s="5" t="str">
        <f t="shared" si="0"/>
        <v> / </v>
      </c>
      <c r="J18" s="70"/>
      <c r="K18" s="8"/>
      <c r="L18" s="29">
        <v>17</v>
      </c>
      <c r="M18" s="75" t="str">
        <f t="shared" si="1"/>
        <v> / </v>
      </c>
      <c r="N18" s="5" t="str">
        <f t="shared" si="2"/>
        <v>  /  </v>
      </c>
    </row>
    <row r="19" spans="1:14" s="11" customFormat="1" ht="13.5" customHeight="1">
      <c r="A19" s="7">
        <v>18</v>
      </c>
      <c r="B19" s="72"/>
      <c r="C19" s="70"/>
      <c r="D19" s="52"/>
      <c r="E19" s="72"/>
      <c r="F19" s="70"/>
      <c r="G19" s="187"/>
      <c r="H19" s="52"/>
      <c r="I19" s="5" t="str">
        <f t="shared" si="0"/>
        <v> / </v>
      </c>
      <c r="J19" s="70"/>
      <c r="K19" s="8"/>
      <c r="L19" s="8">
        <v>18</v>
      </c>
      <c r="M19" s="75" t="str">
        <f t="shared" si="1"/>
        <v> / </v>
      </c>
      <c r="N19" s="5" t="str">
        <f t="shared" si="2"/>
        <v>  /  </v>
      </c>
    </row>
    <row r="20" spans="1:14" s="11" customFormat="1" ht="13.5" customHeight="1">
      <c r="A20" s="7">
        <v>19</v>
      </c>
      <c r="B20" s="72"/>
      <c r="C20" s="70"/>
      <c r="D20" s="52"/>
      <c r="E20" s="72"/>
      <c r="F20" s="70"/>
      <c r="G20" s="187"/>
      <c r="H20" s="52"/>
      <c r="I20" s="5" t="str">
        <f t="shared" si="0"/>
        <v> / </v>
      </c>
      <c r="J20" s="70"/>
      <c r="K20" s="8"/>
      <c r="L20" s="29">
        <v>19</v>
      </c>
      <c r="M20" s="75" t="str">
        <f t="shared" si="1"/>
        <v> / </v>
      </c>
      <c r="N20" s="5" t="str">
        <f t="shared" si="2"/>
        <v>  /  </v>
      </c>
    </row>
    <row r="21" spans="1:14" s="11" customFormat="1" ht="13.5" customHeight="1">
      <c r="A21" s="7">
        <v>20</v>
      </c>
      <c r="B21" s="72"/>
      <c r="C21" s="70"/>
      <c r="D21" s="52"/>
      <c r="E21" s="72"/>
      <c r="F21" s="70"/>
      <c r="G21" s="187"/>
      <c r="H21" s="52"/>
      <c r="I21" s="5" t="str">
        <f t="shared" si="0"/>
        <v> / </v>
      </c>
      <c r="J21" s="70"/>
      <c r="K21" s="8"/>
      <c r="L21" s="8">
        <v>20</v>
      </c>
      <c r="M21" s="75" t="str">
        <f t="shared" si="1"/>
        <v> / </v>
      </c>
      <c r="N21" s="5" t="str">
        <f t="shared" si="2"/>
        <v>  /  </v>
      </c>
    </row>
    <row r="22" spans="1:14" s="11" customFormat="1" ht="13.5" customHeight="1">
      <c r="A22" s="7">
        <v>21</v>
      </c>
      <c r="B22" s="72"/>
      <c r="C22" s="70"/>
      <c r="D22" s="52"/>
      <c r="E22" s="72"/>
      <c r="F22" s="70"/>
      <c r="G22" s="187"/>
      <c r="H22" s="52"/>
      <c r="I22" s="5" t="str">
        <f t="shared" si="0"/>
        <v> / </v>
      </c>
      <c r="J22" s="70"/>
      <c r="K22" s="8"/>
      <c r="L22" s="29">
        <v>21</v>
      </c>
      <c r="M22" s="75" t="str">
        <f t="shared" si="1"/>
        <v> / </v>
      </c>
      <c r="N22" s="5" t="str">
        <f t="shared" si="2"/>
        <v>  /  </v>
      </c>
    </row>
    <row r="23" spans="1:14" s="11" customFormat="1" ht="13.5" customHeight="1">
      <c r="A23" s="7">
        <v>22</v>
      </c>
      <c r="B23" s="72"/>
      <c r="C23" s="70"/>
      <c r="D23" s="52"/>
      <c r="E23" s="72"/>
      <c r="F23" s="70"/>
      <c r="G23" s="187"/>
      <c r="H23" s="52"/>
      <c r="I23" s="5" t="str">
        <f t="shared" si="0"/>
        <v> / </v>
      </c>
      <c r="J23" s="70"/>
      <c r="K23" s="8"/>
      <c r="L23" s="8">
        <v>22</v>
      </c>
      <c r="M23" s="75" t="str">
        <f t="shared" si="1"/>
        <v> / </v>
      </c>
      <c r="N23" s="5" t="str">
        <f t="shared" si="2"/>
        <v>  /  </v>
      </c>
    </row>
    <row r="24" spans="1:14" s="11" customFormat="1" ht="13.5" customHeight="1">
      <c r="A24" s="7">
        <v>23</v>
      </c>
      <c r="B24" s="72"/>
      <c r="C24" s="70"/>
      <c r="D24" s="52"/>
      <c r="E24" s="72"/>
      <c r="F24" s="70"/>
      <c r="G24" s="187"/>
      <c r="H24" s="52"/>
      <c r="I24" s="5" t="str">
        <f t="shared" si="0"/>
        <v> / </v>
      </c>
      <c r="J24" s="70"/>
      <c r="K24" s="8"/>
      <c r="L24" s="29">
        <v>23</v>
      </c>
      <c r="M24" s="75" t="str">
        <f t="shared" si="1"/>
        <v> / </v>
      </c>
      <c r="N24" s="5" t="str">
        <f t="shared" si="2"/>
        <v>  /  </v>
      </c>
    </row>
    <row r="25" spans="1:14" s="11" customFormat="1" ht="13.5" customHeight="1">
      <c r="A25" s="7">
        <v>24</v>
      </c>
      <c r="B25" s="72"/>
      <c r="C25" s="70"/>
      <c r="D25" s="52"/>
      <c r="E25" s="72"/>
      <c r="F25" s="70"/>
      <c r="G25" s="187"/>
      <c r="H25" s="52"/>
      <c r="I25" s="5" t="str">
        <f t="shared" si="0"/>
        <v> / </v>
      </c>
      <c r="J25" s="70"/>
      <c r="K25" s="8"/>
      <c r="L25" s="8">
        <v>24</v>
      </c>
      <c r="M25" s="75" t="str">
        <f t="shared" si="1"/>
        <v> / </v>
      </c>
      <c r="N25" s="5" t="str">
        <f t="shared" si="2"/>
        <v>  /  </v>
      </c>
    </row>
    <row r="27" spans="1:15" ht="12.75">
      <c r="A27" s="23"/>
      <c r="B27" s="195" t="s">
        <v>23</v>
      </c>
      <c r="C27" s="195"/>
      <c r="D27" s="196" t="s">
        <v>24</v>
      </c>
      <c r="E27" s="195"/>
      <c r="F27" s="197"/>
      <c r="G27" s="196" t="s">
        <v>49</v>
      </c>
      <c r="H27" s="195"/>
      <c r="I27" s="197"/>
      <c r="J27" s="196" t="s">
        <v>50</v>
      </c>
      <c r="K27" s="195"/>
      <c r="L27" s="197"/>
      <c r="O27" s="201"/>
    </row>
    <row r="28" spans="1:15" ht="12.75">
      <c r="A28" s="24">
        <v>1</v>
      </c>
      <c r="B28" s="192" t="str">
        <f>IF(I2=" / ","Team 1, Gruppe A",I2)</f>
        <v>Team 1, Gruppe A</v>
      </c>
      <c r="C28" s="192"/>
      <c r="D28" s="193" t="str">
        <f>IF(I3=" / ","Team 1, Gruppe B",I3)</f>
        <v>Team 1, Gruppe B</v>
      </c>
      <c r="E28" s="192"/>
      <c r="F28" s="194"/>
      <c r="G28" s="193" t="str">
        <f>IF(I4=" / ","Team 1, Gruppe C",I4)</f>
        <v>Team 1, Gruppe C</v>
      </c>
      <c r="H28" s="192"/>
      <c r="I28" s="194"/>
      <c r="J28" s="193" t="str">
        <f>IF(I5=" / ","Team 1, Gruppe D",I5)</f>
        <v>Team 1, Gruppe D</v>
      </c>
      <c r="K28" s="192"/>
      <c r="L28" s="194"/>
      <c r="O28" s="201"/>
    </row>
    <row r="29" spans="1:15" ht="12.75">
      <c r="A29" s="24">
        <v>2</v>
      </c>
      <c r="B29" s="192" t="str">
        <f>IF(I9=" / ","Team 2, Gruppe A",I9)</f>
        <v>Team 2, Gruppe A</v>
      </c>
      <c r="C29" s="192"/>
      <c r="D29" s="193" t="str">
        <f>IF(I8=" / ","Team 2, Gruppe B",I8)</f>
        <v>Team 2, Gruppe B</v>
      </c>
      <c r="E29" s="192"/>
      <c r="F29" s="194"/>
      <c r="G29" s="193" t="str">
        <f>IF(I7=" / ","Team 2, Gruppe C",I7)</f>
        <v>Team 2, Gruppe C</v>
      </c>
      <c r="H29" s="192"/>
      <c r="I29" s="194"/>
      <c r="J29" s="193" t="str">
        <f>IF(I6=" / ","Team 2, Gruppe D",I6)</f>
        <v>Team 2, Gruppe D</v>
      </c>
      <c r="K29" s="192"/>
      <c r="L29" s="194"/>
      <c r="O29" s="201"/>
    </row>
    <row r="30" spans="1:15" ht="12.75">
      <c r="A30" s="24">
        <v>3</v>
      </c>
      <c r="B30" s="192" t="str">
        <f>IF(I10=" / ","Team 3, Gruppe A",I10)</f>
        <v>Team 3, Gruppe A</v>
      </c>
      <c r="C30" s="192"/>
      <c r="D30" s="193" t="str">
        <f>IF(I11=" / ","Team 3, Gruppe B",I11)</f>
        <v>Team 3, Gruppe B</v>
      </c>
      <c r="E30" s="192"/>
      <c r="F30" s="194"/>
      <c r="G30" s="193" t="str">
        <f>IF(I12=" / ","Team 3, Gruppe C",I12)</f>
        <v>Team 3, Gruppe C</v>
      </c>
      <c r="H30" s="192"/>
      <c r="I30" s="194"/>
      <c r="J30" s="193" t="str">
        <f>IF(I13=" / ","Team 3, Gruppe D",I13)</f>
        <v>Team 3, Gruppe D</v>
      </c>
      <c r="K30" s="192"/>
      <c r="L30" s="194"/>
      <c r="O30" s="201"/>
    </row>
    <row r="31" spans="1:15" ht="12.75">
      <c r="A31" s="24">
        <v>4</v>
      </c>
      <c r="B31" s="192" t="str">
        <f>IF(I17=" / ","Team 4, Gruppe A",I17)</f>
        <v>Team 4, Gruppe A</v>
      </c>
      <c r="C31" s="192"/>
      <c r="D31" s="193" t="str">
        <f>IF(I16=" / ","Team 4, Gruppe B",I16)</f>
        <v>Team 4, Gruppe B</v>
      </c>
      <c r="E31" s="192"/>
      <c r="F31" s="194"/>
      <c r="G31" s="193" t="str">
        <f>IF(I15=" / ","Team 4, Gruppe C",I15)</f>
        <v>Team 4, Gruppe C</v>
      </c>
      <c r="H31" s="192"/>
      <c r="I31" s="194"/>
      <c r="J31" s="193" t="str">
        <f>IF(I14=" / ","Team 4, Gruppe D",I14)</f>
        <v>Team 4, Gruppe D</v>
      </c>
      <c r="K31" s="192"/>
      <c r="L31" s="194"/>
      <c r="O31" s="201"/>
    </row>
    <row r="32" spans="1:15" ht="12.75">
      <c r="A32" s="24">
        <v>5</v>
      </c>
      <c r="B32" s="192" t="str">
        <f>IF(I18=" / ","Team 5, Gruppe A",I18)</f>
        <v>Team 5, Gruppe A</v>
      </c>
      <c r="C32" s="192"/>
      <c r="D32" s="193" t="str">
        <f>IF(I19=" / ","Team 5, Gruppe B",I19)</f>
        <v>Team 5, Gruppe B</v>
      </c>
      <c r="E32" s="192"/>
      <c r="F32" s="194"/>
      <c r="G32" s="193" t="str">
        <f>IF(I20=" / ","Team 5, Gruppe C",I20)</f>
        <v>Team 5, Gruppe C</v>
      </c>
      <c r="H32" s="192"/>
      <c r="I32" s="194"/>
      <c r="J32" s="193" t="str">
        <f>IF(I21=" / ","Team 5, Gruppe D",I21)</f>
        <v>Team 5, Gruppe D</v>
      </c>
      <c r="K32" s="192"/>
      <c r="L32" s="194"/>
      <c r="O32" s="201"/>
    </row>
    <row r="33" spans="1:15" ht="12.75">
      <c r="A33" s="25">
        <v>6</v>
      </c>
      <c r="B33" s="189" t="str">
        <f>IF(I25=" / ","Team 6, Gruppe A",I25)</f>
        <v>Team 6, Gruppe A</v>
      </c>
      <c r="C33" s="189"/>
      <c r="D33" s="190" t="str">
        <f>IF(I24=" / ","Team 6, Gruppe B",I24)</f>
        <v>Team 6, Gruppe B</v>
      </c>
      <c r="E33" s="189"/>
      <c r="F33" s="191"/>
      <c r="G33" s="190" t="str">
        <f>IF(I23=" / ","Team 6, Gruppe C",I23)</f>
        <v>Team 6, Gruppe C</v>
      </c>
      <c r="H33" s="189"/>
      <c r="I33" s="191"/>
      <c r="J33" s="190" t="str">
        <f>IF(I22=" / ","Team 6, Gruppe D",I22)</f>
        <v>Team 6, Gruppe D</v>
      </c>
      <c r="K33" s="189"/>
      <c r="L33" s="191"/>
      <c r="O33" s="201"/>
    </row>
    <row r="35" spans="1:12" ht="12.75">
      <c r="A35" s="56" t="s">
        <v>41</v>
      </c>
      <c r="B35" s="57"/>
      <c r="D35" s="58" t="s">
        <v>42</v>
      </c>
      <c r="E35" s="45"/>
      <c r="J35" s="98"/>
      <c r="K35" s="98"/>
      <c r="L35" s="99"/>
    </row>
    <row r="36" ht="12.75">
      <c r="A36" s="55"/>
    </row>
  </sheetData>
  <sheetProtection password="CCA4" sheet="1" formatCells="0" formatColumns="0" formatRows="0" selectLockedCells="1"/>
  <mergeCells count="28">
    <mergeCell ref="B31:C31"/>
    <mergeCell ref="D31:F31"/>
    <mergeCell ref="G31:I31"/>
    <mergeCell ref="J31:L31"/>
    <mergeCell ref="J27:L27"/>
    <mergeCell ref="J28:L28"/>
    <mergeCell ref="J29:L29"/>
    <mergeCell ref="J30:L30"/>
    <mergeCell ref="G27:I27"/>
    <mergeCell ref="G28:I28"/>
    <mergeCell ref="G29:I29"/>
    <mergeCell ref="G30:I30"/>
    <mergeCell ref="B30:C30"/>
    <mergeCell ref="B27:C27"/>
    <mergeCell ref="D27:F27"/>
    <mergeCell ref="D28:F28"/>
    <mergeCell ref="D29:F29"/>
    <mergeCell ref="B28:C28"/>
    <mergeCell ref="B29:C29"/>
    <mergeCell ref="D30:F30"/>
    <mergeCell ref="B33:C33"/>
    <mergeCell ref="D33:F33"/>
    <mergeCell ref="G33:I33"/>
    <mergeCell ref="J33:L33"/>
    <mergeCell ref="B32:C32"/>
    <mergeCell ref="D32:F32"/>
    <mergeCell ref="G32:I32"/>
    <mergeCell ref="J32:L32"/>
  </mergeCells>
  <printOptions horizontalCentered="1" verticalCentered="1"/>
  <pageMargins left="0.5905511811023623" right="0.5905511811023623" top="0.984251968503937" bottom="0.79" header="0.5118110236220472" footer="0.5118110236220472"/>
  <pageSetup fitToHeight="1" fitToWidth="1" horizontalDpi="300" verticalDpi="300" orientation="landscape" paperSize="9" r:id="rId1"/>
  <headerFooter alignWithMargins="0">
    <oddHeader>&amp;L&amp;F&amp;CSetzliste 24 Teams
4 Gruppen à 6 Teams
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selection activeCell="C14" sqref="C14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8</v>
      </c>
      <c r="B1" s="17" t="s">
        <v>25</v>
      </c>
      <c r="C1" s="17" t="s">
        <v>10</v>
      </c>
      <c r="D1" s="17" t="s">
        <v>67</v>
      </c>
      <c r="E1" s="13" t="s">
        <v>11</v>
      </c>
      <c r="F1" s="13" t="s">
        <v>12</v>
      </c>
      <c r="G1" s="13" t="s">
        <v>13</v>
      </c>
      <c r="H1" s="212" t="s">
        <v>14</v>
      </c>
      <c r="I1" s="213"/>
      <c r="J1" s="214"/>
      <c r="K1" s="14" t="s">
        <v>15</v>
      </c>
      <c r="L1" s="207" t="s">
        <v>21</v>
      </c>
      <c r="M1" s="207"/>
      <c r="N1" s="207"/>
      <c r="O1" s="207" t="s">
        <v>22</v>
      </c>
      <c r="P1" s="207"/>
      <c r="Q1" s="207"/>
      <c r="R1" s="208" t="s">
        <v>48</v>
      </c>
      <c r="S1" s="208"/>
      <c r="T1" s="209"/>
    </row>
    <row r="2" spans="1:21" ht="18" customHeight="1" thickTop="1">
      <c r="A2" s="9">
        <v>1</v>
      </c>
      <c r="B2" s="18" t="s">
        <v>26</v>
      </c>
      <c r="C2" s="59"/>
      <c r="D2" s="77"/>
      <c r="E2" s="10" t="str">
        <f>IF(Anmeldung!B28=" / ",CONCATENATE("Gruppe A Team #",Anmeldung!A28),Anmeldung!B28)</f>
        <v>Team 1, Gruppe A</v>
      </c>
      <c r="F2" s="10" t="s">
        <v>12</v>
      </c>
      <c r="G2" s="10" t="str">
        <f>IF(Anmeldung!B33="/",CONCATENATE("Gruppe A Team #",Anmeldung!A33),Anmeldung!B33)</f>
        <v>Team 6, Gruppe A</v>
      </c>
      <c r="H2" s="210">
        <f aca="true" t="shared" si="0" ref="H2:H33">IF(L2=N2,"",SUM(IF(L2&gt;N2,1,0),IF(O2&gt;Q2,1,0),IF(R2&lt;=T2,0,1)))</f>
      </c>
      <c r="I2" s="206" t="s">
        <v>17</v>
      </c>
      <c r="J2" s="211">
        <f aca="true" t="shared" si="1" ref="J2:J33">IF(L2=N2,"",SUM(IF(L2&lt;N2,1,0),IF(O2&lt;Q2,1,0),IF(R2&gt;=T2,0,1)))</f>
      </c>
      <c r="K2" s="202">
        <f aca="true" t="shared" si="2" ref="K2:K33">SUM(V2-U2)</f>
        <v>0</v>
      </c>
      <c r="L2" s="79"/>
      <c r="M2" s="22" t="s">
        <v>17</v>
      </c>
      <c r="N2" s="91"/>
      <c r="O2" s="203"/>
      <c r="P2" s="22" t="s">
        <v>17</v>
      </c>
      <c r="Q2" s="204"/>
      <c r="R2" s="205"/>
      <c r="S2" s="206" t="s">
        <v>17</v>
      </c>
      <c r="T2" s="78"/>
      <c r="U2"/>
    </row>
    <row r="3" spans="1:26" s="20" customFormat="1" ht="18" customHeight="1" thickBot="1">
      <c r="A3" s="9">
        <f>SUM(A2,1)</f>
        <v>2</v>
      </c>
      <c r="B3" s="18" t="s">
        <v>27</v>
      </c>
      <c r="C3" s="59"/>
      <c r="D3" s="60"/>
      <c r="E3" s="10" t="str">
        <f>IF(Anmeldung!D28=" / ",CONCATENATE("Gruppe B Team #",Anmeldung!A28),Anmeldung!D28)</f>
        <v>Team 1, Gruppe B</v>
      </c>
      <c r="F3" s="10" t="s">
        <v>12</v>
      </c>
      <c r="G3" s="10" t="str">
        <f>IF(Anmeldung!D33="/",CONCATENATE("Gruppe B Team #",Anmeldung!A33),Anmeldung!D33)</f>
        <v>Team 6, Gruppe B</v>
      </c>
      <c r="H3" s="90">
        <f t="shared" si="0"/>
      </c>
      <c r="I3" s="38" t="s">
        <v>17</v>
      </c>
      <c r="J3" s="87">
        <f t="shared" si="1"/>
      </c>
      <c r="K3" s="89">
        <f t="shared" si="2"/>
        <v>0</v>
      </c>
      <c r="L3" s="79"/>
      <c r="M3" s="22" t="s">
        <v>17</v>
      </c>
      <c r="N3" s="91"/>
      <c r="O3" s="39"/>
      <c r="P3" s="10" t="s">
        <v>17</v>
      </c>
      <c r="Q3" s="40"/>
      <c r="R3" s="92"/>
      <c r="S3" s="38" t="s">
        <v>17</v>
      </c>
      <c r="T3" s="85"/>
      <c r="U3" s="19"/>
      <c r="V3" s="21"/>
      <c r="W3" s="21"/>
      <c r="X3" s="21"/>
      <c r="Y3" s="21"/>
      <c r="Z3" s="21"/>
    </row>
    <row r="4" spans="1:21" ht="18" customHeight="1">
      <c r="A4" s="9">
        <f aca="true" t="shared" si="3" ref="A4:A37">SUM(A3,1)</f>
        <v>3</v>
      </c>
      <c r="B4" s="18" t="s">
        <v>51</v>
      </c>
      <c r="C4" s="59"/>
      <c r="D4" s="77"/>
      <c r="E4" s="10" t="str">
        <f>IF(Anmeldung!G28=" / ",CONCATENATE("Gruppe C Team #",Anmeldung!A28),Anmeldung!G28)</f>
        <v>Team 1, Gruppe C</v>
      </c>
      <c r="F4" s="10" t="s">
        <v>12</v>
      </c>
      <c r="G4" s="10" t="str">
        <f>IF(Anmeldung!G33="/",CONCATENATE("Gruppe C Team #",Anmeldung!A33),Anmeldung!G33)</f>
        <v>Team 6, Gruppe C</v>
      </c>
      <c r="H4" s="90">
        <f t="shared" si="0"/>
      </c>
      <c r="I4" s="38" t="s">
        <v>17</v>
      </c>
      <c r="J4" s="87">
        <f t="shared" si="1"/>
      </c>
      <c r="K4" s="89">
        <f t="shared" si="2"/>
        <v>0</v>
      </c>
      <c r="L4" s="79"/>
      <c r="M4" s="22" t="s">
        <v>17</v>
      </c>
      <c r="N4" s="91"/>
      <c r="O4" s="39"/>
      <c r="P4" s="10" t="s">
        <v>17</v>
      </c>
      <c r="Q4" s="40"/>
      <c r="R4" s="92"/>
      <c r="S4" s="38" t="s">
        <v>17</v>
      </c>
      <c r="T4" s="85"/>
      <c r="U4"/>
    </row>
    <row r="5" spans="1:26" s="20" customFormat="1" ht="18" customHeight="1" thickBot="1">
      <c r="A5" s="9">
        <f t="shared" si="3"/>
        <v>4</v>
      </c>
      <c r="B5" s="18" t="s">
        <v>52</v>
      </c>
      <c r="C5" s="59"/>
      <c r="D5" s="60"/>
      <c r="E5" s="10" t="str">
        <f>IF(Anmeldung!J28=" / ",CONCATENATE("Gruppe D Team #",Anmeldung!A28),Anmeldung!J28)</f>
        <v>Team 1, Gruppe D</v>
      </c>
      <c r="F5" s="10" t="s">
        <v>12</v>
      </c>
      <c r="G5" s="10" t="str">
        <f>IF(Anmeldung!J33="/",CONCATENATE("Gruppe D Team #",Anmeldung!A33),Anmeldung!J33)</f>
        <v>Team 6, Gruppe D</v>
      </c>
      <c r="H5" s="90">
        <f t="shared" si="0"/>
      </c>
      <c r="I5" s="38" t="s">
        <v>17</v>
      </c>
      <c r="J5" s="87">
        <f t="shared" si="1"/>
      </c>
      <c r="K5" s="89">
        <f t="shared" si="2"/>
        <v>0</v>
      </c>
      <c r="L5" s="79"/>
      <c r="M5" s="22" t="s">
        <v>17</v>
      </c>
      <c r="N5" s="91"/>
      <c r="O5" s="39"/>
      <c r="P5" s="10" t="s">
        <v>17</v>
      </c>
      <c r="Q5" s="40"/>
      <c r="R5" s="92"/>
      <c r="S5" s="38" t="s">
        <v>17</v>
      </c>
      <c r="T5" s="85"/>
      <c r="U5" s="19"/>
      <c r="V5" s="21"/>
      <c r="W5" s="21"/>
      <c r="X5" s="21"/>
      <c r="Y5" s="21"/>
      <c r="Z5" s="21"/>
    </row>
    <row r="6" spans="1:21" ht="18" customHeight="1">
      <c r="A6" s="9">
        <f t="shared" si="3"/>
        <v>5</v>
      </c>
      <c r="B6" s="18" t="s">
        <v>26</v>
      </c>
      <c r="C6" s="59"/>
      <c r="D6" s="77"/>
      <c r="E6" s="10" t="str">
        <f>IF(Anmeldung!$B$29="/",CONCATENATE("Gruppe A Team #",Anmeldung!$A$29),Anmeldung!$B$29)</f>
        <v>Team 2, Gruppe A</v>
      </c>
      <c r="F6" s="10" t="s">
        <v>12</v>
      </c>
      <c r="G6" s="10" t="str">
        <f>IF(Anmeldung!$B$31="/",CONCATENATE("Gruppe A Team #",Anmeldung!$A$31),Anmeldung!$B$31)</f>
        <v>Team 4, Gruppe A</v>
      </c>
      <c r="H6" s="90">
        <f t="shared" si="0"/>
      </c>
      <c r="I6" s="38" t="s">
        <v>17</v>
      </c>
      <c r="J6" s="87">
        <f t="shared" si="1"/>
      </c>
      <c r="K6" s="89">
        <f t="shared" si="2"/>
        <v>0</v>
      </c>
      <c r="L6" s="79"/>
      <c r="M6" s="22" t="s">
        <v>17</v>
      </c>
      <c r="N6" s="91"/>
      <c r="O6" s="39"/>
      <c r="P6" s="10" t="s">
        <v>17</v>
      </c>
      <c r="Q6" s="40"/>
      <c r="R6" s="92"/>
      <c r="S6" s="38" t="s">
        <v>17</v>
      </c>
      <c r="T6" s="85"/>
      <c r="U6"/>
    </row>
    <row r="7" spans="1:21" ht="18" customHeight="1">
      <c r="A7" s="9">
        <f t="shared" si="3"/>
        <v>6</v>
      </c>
      <c r="B7" s="18" t="s">
        <v>27</v>
      </c>
      <c r="C7" s="59"/>
      <c r="D7" s="60"/>
      <c r="E7" s="10" t="str">
        <f>IF(Anmeldung!$D$29="/",CONCATENATE("Gruppe B Team #",Anmeldung!$A$29),Anmeldung!$D$29)</f>
        <v>Team 2, Gruppe B</v>
      </c>
      <c r="F7" s="10" t="s">
        <v>12</v>
      </c>
      <c r="G7" s="10" t="str">
        <f>IF(Anmeldung!$D$31="/",CONCATENATE("Gruppe B Team #",Anmeldung!$A$31),Anmeldung!$D$31)</f>
        <v>Team 4, Gruppe B</v>
      </c>
      <c r="H7" s="90">
        <f t="shared" si="0"/>
      </c>
      <c r="I7" s="38" t="s">
        <v>17</v>
      </c>
      <c r="J7" s="87">
        <f t="shared" si="1"/>
      </c>
      <c r="K7" s="89">
        <f t="shared" si="2"/>
        <v>0</v>
      </c>
      <c r="L7" s="79"/>
      <c r="M7" s="22" t="s">
        <v>17</v>
      </c>
      <c r="N7" s="91"/>
      <c r="O7" s="39"/>
      <c r="P7" s="10" t="s">
        <v>17</v>
      </c>
      <c r="Q7" s="40"/>
      <c r="R7" s="92"/>
      <c r="S7" s="38" t="s">
        <v>17</v>
      </c>
      <c r="T7" s="85"/>
      <c r="U7"/>
    </row>
    <row r="8" spans="1:21" ht="18" customHeight="1">
      <c r="A8" s="9">
        <f t="shared" si="3"/>
        <v>7</v>
      </c>
      <c r="B8" s="18" t="s">
        <v>51</v>
      </c>
      <c r="C8" s="59"/>
      <c r="D8" s="77"/>
      <c r="E8" s="10" t="str">
        <f>IF(Anmeldung!$G$29="/",CONCATENATE("Gruppe C Team #",Anmeldung!$A$29),Anmeldung!$G$29)</f>
        <v>Team 2, Gruppe C</v>
      </c>
      <c r="F8" s="10" t="s">
        <v>12</v>
      </c>
      <c r="G8" s="10" t="str">
        <f>IF(Anmeldung!$G$31="/",CONCATENATE("Gruppe C Team #",Anmeldung!$A$31),Anmeldung!$G$31)</f>
        <v>Team 4, Gruppe C</v>
      </c>
      <c r="H8" s="90">
        <f t="shared" si="0"/>
      </c>
      <c r="I8" s="38" t="s">
        <v>17</v>
      </c>
      <c r="J8" s="87">
        <f t="shared" si="1"/>
      </c>
      <c r="K8" s="89">
        <f t="shared" si="2"/>
        <v>0</v>
      </c>
      <c r="L8" s="79"/>
      <c r="M8" s="22" t="s">
        <v>17</v>
      </c>
      <c r="N8" s="91"/>
      <c r="O8" s="39"/>
      <c r="P8" s="10" t="s">
        <v>17</v>
      </c>
      <c r="Q8" s="40"/>
      <c r="R8" s="92"/>
      <c r="S8" s="38" t="s">
        <v>17</v>
      </c>
      <c r="T8" s="85"/>
      <c r="U8"/>
    </row>
    <row r="9" spans="1:21" ht="18" customHeight="1">
      <c r="A9" s="9">
        <f t="shared" si="3"/>
        <v>8</v>
      </c>
      <c r="B9" s="18" t="s">
        <v>52</v>
      </c>
      <c r="C9" s="59"/>
      <c r="D9" s="60"/>
      <c r="E9" s="10" t="str">
        <f>IF(Anmeldung!$J$29="/",CONCATENATE("Gruppe D Team #",Anmeldung!$A$29),Anmeldung!$J$29)</f>
        <v>Team 2, Gruppe D</v>
      </c>
      <c r="F9" s="10" t="s">
        <v>12</v>
      </c>
      <c r="G9" s="10" t="str">
        <f>IF(Anmeldung!$J$31="/",CONCATENATE("Gruppe D Team #",Anmeldung!$A$31),Anmeldung!$J$31)</f>
        <v>Team 4, Gruppe D</v>
      </c>
      <c r="H9" s="90">
        <f t="shared" si="0"/>
      </c>
      <c r="I9" s="38" t="s">
        <v>17</v>
      </c>
      <c r="J9" s="87">
        <f t="shared" si="1"/>
      </c>
      <c r="K9" s="89">
        <f t="shared" si="2"/>
        <v>0</v>
      </c>
      <c r="L9" s="79"/>
      <c r="M9" s="22" t="s">
        <v>17</v>
      </c>
      <c r="N9" s="91"/>
      <c r="O9" s="39"/>
      <c r="P9" s="10" t="s">
        <v>17</v>
      </c>
      <c r="Q9" s="40"/>
      <c r="R9" s="92"/>
      <c r="S9" s="38" t="s">
        <v>17</v>
      </c>
      <c r="T9" s="85"/>
      <c r="U9"/>
    </row>
    <row r="10" spans="1:21" ht="18" customHeight="1">
      <c r="A10" s="9">
        <f t="shared" si="3"/>
        <v>9</v>
      </c>
      <c r="B10" s="18" t="s">
        <v>26</v>
      </c>
      <c r="C10" s="59"/>
      <c r="D10" s="77"/>
      <c r="E10" s="10" t="str">
        <f>IF(Anmeldung!B30="/",CONCATENATE("Gruppe A Team #",Anmeldung!A30),Anmeldung!B30)</f>
        <v>Team 3, Gruppe A</v>
      </c>
      <c r="F10" s="10" t="s">
        <v>12</v>
      </c>
      <c r="G10" s="10" t="str">
        <f>IF(Anmeldung!$B$32=" / ",CONCATENATE("Gruppe A Team #",Anmeldung!$A$32),Anmeldung!$B$32)</f>
        <v>Team 5, Gruppe A</v>
      </c>
      <c r="H10" s="90">
        <f t="shared" si="0"/>
      </c>
      <c r="I10" s="38" t="s">
        <v>17</v>
      </c>
      <c r="J10" s="87">
        <f t="shared" si="1"/>
      </c>
      <c r="K10" s="89">
        <f t="shared" si="2"/>
        <v>0</v>
      </c>
      <c r="L10" s="79"/>
      <c r="M10" s="22" t="s">
        <v>17</v>
      </c>
      <c r="N10" s="91"/>
      <c r="O10" s="39"/>
      <c r="P10" s="10" t="s">
        <v>17</v>
      </c>
      <c r="Q10" s="40"/>
      <c r="R10" s="92"/>
      <c r="S10" s="38" t="s">
        <v>17</v>
      </c>
      <c r="T10" s="85"/>
      <c r="U10"/>
    </row>
    <row r="11" spans="1:21" ht="18" customHeight="1">
      <c r="A11" s="9">
        <f t="shared" si="3"/>
        <v>10</v>
      </c>
      <c r="B11" s="18" t="s">
        <v>27</v>
      </c>
      <c r="C11" s="59"/>
      <c r="D11" s="60"/>
      <c r="E11" s="10" t="str">
        <f>IF(Anmeldung!D30="/",CONCATENATE("Gruppe B Team #",Anmeldung!A30),Anmeldung!D30)</f>
        <v>Team 3, Gruppe B</v>
      </c>
      <c r="F11" s="10" t="s">
        <v>12</v>
      </c>
      <c r="G11" s="10" t="str">
        <f>IF(Anmeldung!$D$32=" / ",CONCATENATE("Gruppe B Team #",Anmeldung!$A$32),Anmeldung!$D$32)</f>
        <v>Team 5, Gruppe B</v>
      </c>
      <c r="H11" s="90">
        <f t="shared" si="0"/>
      </c>
      <c r="I11" s="38" t="s">
        <v>17</v>
      </c>
      <c r="J11" s="87">
        <f t="shared" si="1"/>
      </c>
      <c r="K11" s="89">
        <f t="shared" si="2"/>
        <v>0</v>
      </c>
      <c r="L11" s="79"/>
      <c r="M11" s="22" t="s">
        <v>17</v>
      </c>
      <c r="N11" s="91"/>
      <c r="O11" s="39"/>
      <c r="P11" s="10" t="s">
        <v>17</v>
      </c>
      <c r="Q11" s="40"/>
      <c r="R11" s="92"/>
      <c r="S11" s="38" t="s">
        <v>17</v>
      </c>
      <c r="T11" s="85"/>
      <c r="U11"/>
    </row>
    <row r="12" spans="1:21" ht="18" customHeight="1">
      <c r="A12" s="9">
        <f t="shared" si="3"/>
        <v>11</v>
      </c>
      <c r="B12" s="18" t="s">
        <v>51</v>
      </c>
      <c r="C12" s="59"/>
      <c r="D12" s="77"/>
      <c r="E12" s="10" t="str">
        <f>IF(Anmeldung!G30="/",CONCATENATE("Gruppe C Team #",Anmeldung!A30),Anmeldung!G30)</f>
        <v>Team 3, Gruppe C</v>
      </c>
      <c r="F12" s="10" t="s">
        <v>12</v>
      </c>
      <c r="G12" s="10" t="str">
        <f>IF(Anmeldung!$G$32=" / ",CONCATENATE("Gruppe C Team #",Anmeldung!$A$32),Anmeldung!$G$32)</f>
        <v>Team 5, Gruppe C</v>
      </c>
      <c r="H12" s="90">
        <f t="shared" si="0"/>
      </c>
      <c r="I12" s="38" t="s">
        <v>17</v>
      </c>
      <c r="J12" s="87">
        <f t="shared" si="1"/>
      </c>
      <c r="K12" s="89">
        <f t="shared" si="2"/>
        <v>0</v>
      </c>
      <c r="L12" s="79"/>
      <c r="M12" s="22" t="s">
        <v>17</v>
      </c>
      <c r="N12" s="91"/>
      <c r="O12" s="39"/>
      <c r="P12" s="10" t="s">
        <v>17</v>
      </c>
      <c r="Q12" s="40"/>
      <c r="R12" s="92"/>
      <c r="S12" s="38" t="s">
        <v>17</v>
      </c>
      <c r="T12" s="85"/>
      <c r="U12"/>
    </row>
    <row r="13" spans="1:21" ht="18" customHeight="1">
      <c r="A13" s="9">
        <f t="shared" si="3"/>
        <v>12</v>
      </c>
      <c r="B13" s="18" t="s">
        <v>52</v>
      </c>
      <c r="C13" s="59"/>
      <c r="D13" s="60"/>
      <c r="E13" s="10" t="str">
        <f>IF(Anmeldung!J30="/",CONCATENATE("Gruppe D Team #",Anmeldung!A30),Anmeldung!J30)</f>
        <v>Team 3, Gruppe D</v>
      </c>
      <c r="F13" s="10" t="s">
        <v>12</v>
      </c>
      <c r="G13" s="10" t="str">
        <f>IF(Anmeldung!$J$32=" / ",CONCATENATE("Gruppe D Team #",Anmeldung!$A$32),Anmeldung!$J$32)</f>
        <v>Team 5, Gruppe D</v>
      </c>
      <c r="H13" s="90">
        <f t="shared" si="0"/>
      </c>
      <c r="I13" s="38" t="s">
        <v>17</v>
      </c>
      <c r="J13" s="87">
        <f t="shared" si="1"/>
      </c>
      <c r="K13" s="89">
        <f t="shared" si="2"/>
        <v>0</v>
      </c>
      <c r="L13" s="79"/>
      <c r="M13" s="22" t="s">
        <v>17</v>
      </c>
      <c r="N13" s="91"/>
      <c r="O13" s="39"/>
      <c r="P13" s="10" t="s">
        <v>17</v>
      </c>
      <c r="Q13" s="40"/>
      <c r="R13" s="92"/>
      <c r="S13" s="38" t="s">
        <v>17</v>
      </c>
      <c r="T13" s="85"/>
      <c r="U13"/>
    </row>
    <row r="14" spans="1:21" ht="18" customHeight="1">
      <c r="A14" s="9">
        <f t="shared" si="3"/>
        <v>13</v>
      </c>
      <c r="B14" s="18" t="s">
        <v>26</v>
      </c>
      <c r="C14" s="59"/>
      <c r="D14" s="77"/>
      <c r="E14" s="10" t="str">
        <f>IF(Anmeldung!$B$31="/",CONCATENATE("Gruppe A Team #",Anmeldung!$A$31),Anmeldung!$B$31)</f>
        <v>Team 4, Gruppe A</v>
      </c>
      <c r="F14" s="10" t="s">
        <v>12</v>
      </c>
      <c r="G14" s="10" t="str">
        <f>IF(Anmeldung!B33="/",CONCATENATE("Gruppe A Team #",Anmeldung!A33),Anmeldung!B33)</f>
        <v>Team 6, Gruppe A</v>
      </c>
      <c r="H14" s="90">
        <f t="shared" si="0"/>
      </c>
      <c r="I14" s="38" t="s">
        <v>17</v>
      </c>
      <c r="J14" s="87">
        <f t="shared" si="1"/>
      </c>
      <c r="K14" s="89">
        <f t="shared" si="2"/>
        <v>0</v>
      </c>
      <c r="L14" s="79"/>
      <c r="M14" s="22" t="s">
        <v>17</v>
      </c>
      <c r="N14" s="91"/>
      <c r="O14" s="39"/>
      <c r="P14" s="10" t="s">
        <v>17</v>
      </c>
      <c r="Q14" s="40"/>
      <c r="R14" s="92"/>
      <c r="S14" s="38" t="s">
        <v>17</v>
      </c>
      <c r="T14" s="85"/>
      <c r="U14"/>
    </row>
    <row r="15" spans="1:21" ht="18" customHeight="1">
      <c r="A15" s="9">
        <f t="shared" si="3"/>
        <v>14</v>
      </c>
      <c r="B15" s="18" t="s">
        <v>27</v>
      </c>
      <c r="C15" s="59"/>
      <c r="D15" s="60"/>
      <c r="E15" s="10" t="str">
        <f>IF(Anmeldung!$D$31="/",CONCATENATE("Gruppe B Team #",Anmeldung!$A$31),Anmeldung!$D$31)</f>
        <v>Team 4, Gruppe B</v>
      </c>
      <c r="F15" s="10" t="s">
        <v>12</v>
      </c>
      <c r="G15" s="10" t="str">
        <f>IF(Anmeldung!D33="/",CONCATENATE("Gruppe B Team #",Anmeldung!A33),Anmeldung!D33)</f>
        <v>Team 6, Gruppe B</v>
      </c>
      <c r="H15" s="90">
        <f t="shared" si="0"/>
      </c>
      <c r="I15" s="38" t="s">
        <v>17</v>
      </c>
      <c r="J15" s="87">
        <f t="shared" si="1"/>
      </c>
      <c r="K15" s="89">
        <f t="shared" si="2"/>
        <v>0</v>
      </c>
      <c r="L15" s="84"/>
      <c r="M15" s="10" t="s">
        <v>17</v>
      </c>
      <c r="N15" s="93"/>
      <c r="O15" s="39"/>
      <c r="P15" s="10" t="s">
        <v>17</v>
      </c>
      <c r="Q15" s="40"/>
      <c r="R15" s="92"/>
      <c r="S15" s="38" t="s">
        <v>17</v>
      </c>
      <c r="T15" s="85"/>
      <c r="U15"/>
    </row>
    <row r="16" spans="1:21" ht="18" customHeight="1">
      <c r="A16" s="9">
        <f t="shared" si="3"/>
        <v>15</v>
      </c>
      <c r="B16" s="18" t="s">
        <v>51</v>
      </c>
      <c r="C16" s="59"/>
      <c r="D16" s="77"/>
      <c r="E16" s="10" t="str">
        <f>IF(Anmeldung!$G$31="/",CONCATENATE("Gruppe C Team #",Anmeldung!$A$31),Anmeldung!$G$31)</f>
        <v>Team 4, Gruppe C</v>
      </c>
      <c r="F16" s="10" t="s">
        <v>12</v>
      </c>
      <c r="G16" s="10" t="str">
        <f>IF(Anmeldung!G33="/",CONCATENATE("Gruppe C Team #",Anmeldung!A33),Anmeldung!G33)</f>
        <v>Team 6, Gruppe C</v>
      </c>
      <c r="H16" s="90">
        <f t="shared" si="0"/>
      </c>
      <c r="I16" s="38" t="s">
        <v>17</v>
      </c>
      <c r="J16" s="87">
        <f t="shared" si="1"/>
      </c>
      <c r="K16" s="89">
        <f t="shared" si="2"/>
        <v>0</v>
      </c>
      <c r="L16" s="79"/>
      <c r="M16" s="22" t="s">
        <v>17</v>
      </c>
      <c r="N16" s="91"/>
      <c r="O16" s="39"/>
      <c r="P16" s="10" t="s">
        <v>17</v>
      </c>
      <c r="Q16" s="40"/>
      <c r="R16" s="92"/>
      <c r="S16" s="38" t="s">
        <v>17</v>
      </c>
      <c r="T16" s="85"/>
      <c r="U16"/>
    </row>
    <row r="17" spans="1:21" ht="18" customHeight="1">
      <c r="A17" s="9">
        <f t="shared" si="3"/>
        <v>16</v>
      </c>
      <c r="B17" s="18" t="s">
        <v>52</v>
      </c>
      <c r="C17" s="59"/>
      <c r="D17" s="60"/>
      <c r="E17" s="10" t="str">
        <f>IF(Anmeldung!$J$31="/",CONCATENATE("Gruppe D Team #",Anmeldung!$A$31),Anmeldung!$J$31)</f>
        <v>Team 4, Gruppe D</v>
      </c>
      <c r="F17" s="10" t="s">
        <v>12</v>
      </c>
      <c r="G17" s="10" t="str">
        <f>IF(Anmeldung!J33="/",CONCATENATE("Gruppe D Team #",Anmeldung!A33),Anmeldung!J33)</f>
        <v>Team 6, Gruppe D</v>
      </c>
      <c r="H17" s="90">
        <f t="shared" si="0"/>
      </c>
      <c r="I17" s="38" t="s">
        <v>17</v>
      </c>
      <c r="J17" s="87">
        <f t="shared" si="1"/>
      </c>
      <c r="K17" s="89">
        <f t="shared" si="2"/>
        <v>0</v>
      </c>
      <c r="L17" s="84"/>
      <c r="M17" s="10" t="s">
        <v>17</v>
      </c>
      <c r="N17" s="93"/>
      <c r="O17" s="39"/>
      <c r="P17" s="10" t="s">
        <v>17</v>
      </c>
      <c r="Q17" s="40"/>
      <c r="R17" s="92"/>
      <c r="S17" s="38" t="s">
        <v>17</v>
      </c>
      <c r="T17" s="85"/>
      <c r="U17"/>
    </row>
    <row r="18" spans="1:21" ht="18" customHeight="1">
      <c r="A18" s="9">
        <f t="shared" si="3"/>
        <v>17</v>
      </c>
      <c r="B18" s="18" t="s">
        <v>26</v>
      </c>
      <c r="C18" s="59"/>
      <c r="D18" s="77"/>
      <c r="E18" s="10" t="str">
        <f>IF(Anmeldung!B28=" / ",CONCATENATE("Gruppe A Team #",Anmeldung!A28),Anmeldung!B28)</f>
        <v>Team 1, Gruppe A</v>
      </c>
      <c r="F18" s="10" t="s">
        <v>12</v>
      </c>
      <c r="G18" s="10" t="str">
        <f>IF(Anmeldung!$B$32=" / ",CONCATENATE("Gruppe A Team #",Anmeldung!$A$32),Anmeldung!$B$32)</f>
        <v>Team 5, Gruppe A</v>
      </c>
      <c r="H18" s="90">
        <f t="shared" si="0"/>
      </c>
      <c r="I18" s="38" t="s">
        <v>17</v>
      </c>
      <c r="J18" s="87">
        <f t="shared" si="1"/>
      </c>
      <c r="K18" s="89">
        <f t="shared" si="2"/>
        <v>0</v>
      </c>
      <c r="L18" s="79"/>
      <c r="M18" s="22" t="s">
        <v>17</v>
      </c>
      <c r="N18" s="91"/>
      <c r="O18" s="39"/>
      <c r="P18" s="10" t="s">
        <v>17</v>
      </c>
      <c r="Q18" s="40"/>
      <c r="R18" s="92"/>
      <c r="S18" s="38" t="s">
        <v>17</v>
      </c>
      <c r="T18" s="85"/>
      <c r="U18"/>
    </row>
    <row r="19" spans="1:21" ht="18" customHeight="1">
      <c r="A19" s="9">
        <f t="shared" si="3"/>
        <v>18</v>
      </c>
      <c r="B19" s="18" t="s">
        <v>27</v>
      </c>
      <c r="C19" s="59"/>
      <c r="D19" s="60"/>
      <c r="E19" s="10" t="str">
        <f>IF(Anmeldung!D28=" / ",CONCATENATE("Gruppe B Team #",Anmeldung!A28),Anmeldung!D28)</f>
        <v>Team 1, Gruppe B</v>
      </c>
      <c r="F19" s="10" t="s">
        <v>12</v>
      </c>
      <c r="G19" s="10" t="str">
        <f>IF(Anmeldung!$D$32=" / ",CONCATENATE("Gruppe B Team #",Anmeldung!$A$32),Anmeldung!$D$32)</f>
        <v>Team 5, Gruppe B</v>
      </c>
      <c r="H19" s="90">
        <f t="shared" si="0"/>
      </c>
      <c r="I19" s="38" t="s">
        <v>17</v>
      </c>
      <c r="J19" s="87">
        <f t="shared" si="1"/>
      </c>
      <c r="K19" s="89">
        <f t="shared" si="2"/>
        <v>0</v>
      </c>
      <c r="L19" s="79"/>
      <c r="M19" s="22" t="s">
        <v>17</v>
      </c>
      <c r="N19" s="91"/>
      <c r="O19" s="39"/>
      <c r="P19" s="10" t="s">
        <v>17</v>
      </c>
      <c r="Q19" s="40"/>
      <c r="R19" s="92"/>
      <c r="S19" s="38" t="s">
        <v>17</v>
      </c>
      <c r="T19" s="85"/>
      <c r="U19"/>
    </row>
    <row r="20" spans="1:21" ht="18" customHeight="1">
      <c r="A20" s="9">
        <f t="shared" si="3"/>
        <v>19</v>
      </c>
      <c r="B20" s="18" t="s">
        <v>51</v>
      </c>
      <c r="C20" s="59"/>
      <c r="D20" s="77"/>
      <c r="E20" s="10" t="str">
        <f>IF(Anmeldung!G28=" / ",CONCATENATE("Gruppe C Team #",Anmeldung!A28),Anmeldung!G28)</f>
        <v>Team 1, Gruppe C</v>
      </c>
      <c r="F20" s="10" t="s">
        <v>12</v>
      </c>
      <c r="G20" s="10" t="str">
        <f>IF(Anmeldung!$G$32=" / ",CONCATENATE("Gruppe C Team #",Anmeldung!$A$32),Anmeldung!$G$32)</f>
        <v>Team 5, Gruppe C</v>
      </c>
      <c r="H20" s="90">
        <f t="shared" si="0"/>
      </c>
      <c r="I20" s="38" t="s">
        <v>17</v>
      </c>
      <c r="J20" s="87">
        <f t="shared" si="1"/>
      </c>
      <c r="K20" s="89">
        <f t="shared" si="2"/>
        <v>0</v>
      </c>
      <c r="L20" s="79"/>
      <c r="M20" s="22" t="s">
        <v>17</v>
      </c>
      <c r="N20" s="91"/>
      <c r="O20" s="39"/>
      <c r="P20" s="10" t="s">
        <v>17</v>
      </c>
      <c r="Q20" s="40"/>
      <c r="R20" s="92"/>
      <c r="S20" s="38" t="s">
        <v>17</v>
      </c>
      <c r="T20" s="85"/>
      <c r="U20"/>
    </row>
    <row r="21" spans="1:21" ht="18" customHeight="1">
      <c r="A21" s="9">
        <f t="shared" si="3"/>
        <v>20</v>
      </c>
      <c r="B21" s="18" t="s">
        <v>52</v>
      </c>
      <c r="C21" s="59"/>
      <c r="D21" s="60"/>
      <c r="E21" s="10" t="str">
        <f>IF(Anmeldung!J28=" / ",CONCATENATE("Gruppe D Team #",Anmeldung!A28),Anmeldung!J28)</f>
        <v>Team 1, Gruppe D</v>
      </c>
      <c r="F21" s="10" t="s">
        <v>12</v>
      </c>
      <c r="G21" s="10" t="str">
        <f>IF(Anmeldung!$J$32=" / ",CONCATENATE("Gruppe D Team #",Anmeldung!$A$32),Anmeldung!$J$32)</f>
        <v>Team 5, Gruppe D</v>
      </c>
      <c r="H21" s="90">
        <f t="shared" si="0"/>
      </c>
      <c r="I21" s="38" t="s">
        <v>17</v>
      </c>
      <c r="J21" s="87">
        <f t="shared" si="1"/>
      </c>
      <c r="K21" s="89">
        <f t="shared" si="2"/>
        <v>0</v>
      </c>
      <c r="L21" s="79"/>
      <c r="M21" s="22" t="s">
        <v>17</v>
      </c>
      <c r="N21" s="91"/>
      <c r="O21" s="39"/>
      <c r="P21" s="10" t="s">
        <v>17</v>
      </c>
      <c r="Q21" s="40"/>
      <c r="R21" s="92"/>
      <c r="S21" s="38" t="s">
        <v>17</v>
      </c>
      <c r="T21" s="85"/>
      <c r="U21"/>
    </row>
    <row r="22" spans="1:21" ht="18" customHeight="1">
      <c r="A22" s="9">
        <f t="shared" si="3"/>
        <v>21</v>
      </c>
      <c r="B22" s="18" t="s">
        <v>26</v>
      </c>
      <c r="C22" s="62"/>
      <c r="D22" s="77"/>
      <c r="E22" s="10" t="str">
        <f>IF(Anmeldung!$B$29="/",CONCATENATE("Gruppe A Team #",Anmeldung!$A$29),Anmeldung!$B$29)</f>
        <v>Team 2, Gruppe A</v>
      </c>
      <c r="F22" s="22" t="s">
        <v>12</v>
      </c>
      <c r="G22" s="22" t="str">
        <f>IF(Anmeldung!B30="/",CONCATENATE("Gruppe A Team #",Anmeldung!A30),Anmeldung!B30)</f>
        <v>Team 3, Gruppe A</v>
      </c>
      <c r="H22" s="90">
        <f t="shared" si="0"/>
      </c>
      <c r="I22" s="38" t="s">
        <v>17</v>
      </c>
      <c r="J22" s="87">
        <f t="shared" si="1"/>
      </c>
      <c r="K22" s="89">
        <f t="shared" si="2"/>
        <v>0</v>
      </c>
      <c r="L22" s="84"/>
      <c r="M22" s="10" t="s">
        <v>17</v>
      </c>
      <c r="N22" s="93"/>
      <c r="O22" s="39"/>
      <c r="P22" s="10" t="s">
        <v>17</v>
      </c>
      <c r="Q22" s="40"/>
      <c r="R22" s="92"/>
      <c r="S22" s="38" t="s">
        <v>17</v>
      </c>
      <c r="T22" s="85"/>
      <c r="U22"/>
    </row>
    <row r="23" spans="1:26" s="20" customFormat="1" ht="18" customHeight="1" thickBot="1">
      <c r="A23" s="9">
        <f t="shared" si="3"/>
        <v>22</v>
      </c>
      <c r="B23" s="18" t="s">
        <v>27</v>
      </c>
      <c r="C23" s="59"/>
      <c r="D23" s="60"/>
      <c r="E23" s="10" t="str">
        <f>IF(Anmeldung!$D$29="/",CONCATENATE("Gruppe B Team #",Anmeldung!$A$29),Anmeldung!$D$29)</f>
        <v>Team 2, Gruppe B</v>
      </c>
      <c r="F23" s="10" t="s">
        <v>12</v>
      </c>
      <c r="G23" s="10" t="str">
        <f>IF(Anmeldung!D30="/",CONCATENATE("Gruppe B Team #",Anmeldung!A30),Anmeldung!D30)</f>
        <v>Team 3, Gruppe B</v>
      </c>
      <c r="H23" s="90">
        <f t="shared" si="0"/>
      </c>
      <c r="I23" s="38" t="s">
        <v>17</v>
      </c>
      <c r="J23" s="87">
        <f t="shared" si="1"/>
      </c>
      <c r="K23" s="89">
        <f t="shared" si="2"/>
        <v>0</v>
      </c>
      <c r="L23" s="79"/>
      <c r="M23" s="22" t="s">
        <v>17</v>
      </c>
      <c r="N23" s="91"/>
      <c r="O23" s="39"/>
      <c r="P23" s="10" t="s">
        <v>17</v>
      </c>
      <c r="Q23" s="40"/>
      <c r="R23" s="92"/>
      <c r="S23" s="38" t="s">
        <v>17</v>
      </c>
      <c r="T23" s="85"/>
      <c r="U23" s="19"/>
      <c r="V23" s="21"/>
      <c r="W23" s="21"/>
      <c r="X23" s="21"/>
      <c r="Y23" s="21"/>
      <c r="Z23" s="21"/>
    </row>
    <row r="24" spans="1:21" ht="18" customHeight="1">
      <c r="A24" s="9">
        <f t="shared" si="3"/>
        <v>23</v>
      </c>
      <c r="B24" s="18" t="s">
        <v>51</v>
      </c>
      <c r="C24" s="62"/>
      <c r="D24" s="77"/>
      <c r="E24" s="10" t="str">
        <f>IF(Anmeldung!$G$29="/",CONCATENATE("Gruppe C Team #",Anmeldung!$A$29),Anmeldung!$G$29)</f>
        <v>Team 2, Gruppe C</v>
      </c>
      <c r="F24" s="22" t="s">
        <v>12</v>
      </c>
      <c r="G24" s="22" t="str">
        <f>IF(Anmeldung!G30="/",CONCATENATE("Gruppe C Team #",Anmeldung!A30),Anmeldung!G30)</f>
        <v>Team 3, Gruppe C</v>
      </c>
      <c r="H24" s="90">
        <f t="shared" si="0"/>
      </c>
      <c r="I24" s="38" t="s">
        <v>17</v>
      </c>
      <c r="J24" s="87">
        <f t="shared" si="1"/>
      </c>
      <c r="K24" s="89">
        <f t="shared" si="2"/>
        <v>0</v>
      </c>
      <c r="L24" s="84"/>
      <c r="M24" s="10" t="s">
        <v>17</v>
      </c>
      <c r="N24" s="93"/>
      <c r="O24" s="39"/>
      <c r="P24" s="10" t="s">
        <v>17</v>
      </c>
      <c r="Q24" s="40"/>
      <c r="R24" s="92"/>
      <c r="S24" s="38" t="s">
        <v>17</v>
      </c>
      <c r="T24" s="85"/>
      <c r="U24"/>
    </row>
    <row r="25" spans="1:26" s="20" customFormat="1" ht="18" customHeight="1" thickBot="1">
      <c r="A25" s="9">
        <f t="shared" si="3"/>
        <v>24</v>
      </c>
      <c r="B25" s="18" t="s">
        <v>52</v>
      </c>
      <c r="C25" s="59"/>
      <c r="D25" s="60"/>
      <c r="E25" s="10" t="str">
        <f>IF(Anmeldung!$J$29="/",CONCATENATE("Gruppe D Team #",Anmeldung!$A$29),Anmeldung!$J$29)</f>
        <v>Team 2, Gruppe D</v>
      </c>
      <c r="F25" s="10" t="s">
        <v>12</v>
      </c>
      <c r="G25" s="10" t="str">
        <f>IF(Anmeldung!J30="/",CONCATENATE("Gruppe D Team #",Anmeldung!A30),Anmeldung!J30)</f>
        <v>Team 3, Gruppe D</v>
      </c>
      <c r="H25" s="90">
        <f t="shared" si="0"/>
      </c>
      <c r="I25" s="38" t="s">
        <v>17</v>
      </c>
      <c r="J25" s="87">
        <f t="shared" si="1"/>
      </c>
      <c r="K25" s="89">
        <f t="shared" si="2"/>
        <v>0</v>
      </c>
      <c r="L25" s="79"/>
      <c r="M25" s="22" t="s">
        <v>17</v>
      </c>
      <c r="N25" s="91"/>
      <c r="O25" s="39"/>
      <c r="P25" s="10" t="s">
        <v>17</v>
      </c>
      <c r="Q25" s="40"/>
      <c r="R25" s="92"/>
      <c r="S25" s="38" t="s">
        <v>17</v>
      </c>
      <c r="T25" s="85"/>
      <c r="U25" s="19"/>
      <c r="V25" s="21"/>
      <c r="W25" s="21"/>
      <c r="X25" s="21"/>
      <c r="Y25" s="21"/>
      <c r="Z25" s="21"/>
    </row>
    <row r="26" spans="1:21" ht="18" customHeight="1">
      <c r="A26" s="9">
        <f t="shared" si="3"/>
        <v>25</v>
      </c>
      <c r="B26" s="18" t="s">
        <v>26</v>
      </c>
      <c r="C26" s="59"/>
      <c r="D26" s="77"/>
      <c r="E26" s="10" t="str">
        <f>IF(Anmeldung!B28=" / ",CONCATENATE("Gruppe A Team #",Anmeldung!A28),Anmeldung!B28)</f>
        <v>Team 1, Gruppe A</v>
      </c>
      <c r="F26" s="10" t="s">
        <v>12</v>
      </c>
      <c r="G26" s="10" t="str">
        <f>IF(Anmeldung!$B$31="/",CONCATENATE("Gruppe A Team #",Anmeldung!$A$31),Anmeldung!$B$31)</f>
        <v>Team 4, Gruppe A</v>
      </c>
      <c r="H26" s="90">
        <f t="shared" si="0"/>
      </c>
      <c r="I26" s="38" t="s">
        <v>17</v>
      </c>
      <c r="J26" s="87">
        <f t="shared" si="1"/>
      </c>
      <c r="K26" s="89">
        <f t="shared" si="2"/>
        <v>0</v>
      </c>
      <c r="L26" s="79"/>
      <c r="M26" s="22" t="s">
        <v>17</v>
      </c>
      <c r="N26" s="91"/>
      <c r="O26" s="39"/>
      <c r="P26" s="10" t="s">
        <v>17</v>
      </c>
      <c r="Q26" s="40"/>
      <c r="R26" s="92"/>
      <c r="S26" s="38" t="s">
        <v>17</v>
      </c>
      <c r="T26" s="85"/>
      <c r="U26"/>
    </row>
    <row r="27" spans="1:26" s="20" customFormat="1" ht="18" customHeight="1" thickBot="1">
      <c r="A27" s="9">
        <f t="shared" si="3"/>
        <v>26</v>
      </c>
      <c r="B27" s="18" t="s">
        <v>27</v>
      </c>
      <c r="C27" s="59"/>
      <c r="D27" s="60"/>
      <c r="E27" s="10" t="str">
        <f>IF(Anmeldung!D28=" / ",CONCATENATE("Gruppe B Team #",Anmeldung!A28),Anmeldung!D28)</f>
        <v>Team 1, Gruppe B</v>
      </c>
      <c r="F27" s="10" t="s">
        <v>12</v>
      </c>
      <c r="G27" s="10" t="str">
        <f>IF(Anmeldung!$D$31="/",CONCATENATE("Gruppe B Team #",Anmeldung!$A$31),Anmeldung!$D$31)</f>
        <v>Team 4, Gruppe B</v>
      </c>
      <c r="H27" s="90">
        <f t="shared" si="0"/>
      </c>
      <c r="I27" s="38" t="s">
        <v>17</v>
      </c>
      <c r="J27" s="87">
        <f t="shared" si="1"/>
      </c>
      <c r="K27" s="89">
        <f t="shared" si="2"/>
        <v>0</v>
      </c>
      <c r="L27" s="79"/>
      <c r="M27" s="22" t="s">
        <v>17</v>
      </c>
      <c r="N27" s="91"/>
      <c r="O27" s="39"/>
      <c r="P27" s="10" t="s">
        <v>17</v>
      </c>
      <c r="Q27" s="40"/>
      <c r="R27" s="92"/>
      <c r="S27" s="38" t="s">
        <v>17</v>
      </c>
      <c r="T27" s="85"/>
      <c r="U27" s="19"/>
      <c r="V27" s="21"/>
      <c r="W27" s="21"/>
      <c r="X27" s="21"/>
      <c r="Y27" s="21"/>
      <c r="Z27" s="21"/>
    </row>
    <row r="28" spans="1:21" ht="18" customHeight="1">
      <c r="A28" s="9">
        <f t="shared" si="3"/>
        <v>27</v>
      </c>
      <c r="B28" s="18" t="s">
        <v>51</v>
      </c>
      <c r="C28" s="59"/>
      <c r="D28" s="77"/>
      <c r="E28" s="10" t="str">
        <f>IF(Anmeldung!G28=" / ",CONCATENATE("Gruppe C Team #",Anmeldung!A28),Anmeldung!G28)</f>
        <v>Team 1, Gruppe C</v>
      </c>
      <c r="F28" s="10" t="s">
        <v>12</v>
      </c>
      <c r="G28" s="10" t="str">
        <f>IF(Anmeldung!$G$31="/",CONCATENATE("Gruppe C Team #",Anmeldung!$A$31),Anmeldung!$G$31)</f>
        <v>Team 4, Gruppe C</v>
      </c>
      <c r="H28" s="90">
        <f t="shared" si="0"/>
      </c>
      <c r="I28" s="38" t="s">
        <v>17</v>
      </c>
      <c r="J28" s="87">
        <f t="shared" si="1"/>
      </c>
      <c r="K28" s="89">
        <f t="shared" si="2"/>
        <v>0</v>
      </c>
      <c r="L28" s="79"/>
      <c r="M28" s="22" t="s">
        <v>17</v>
      </c>
      <c r="N28" s="91"/>
      <c r="O28" s="39"/>
      <c r="P28" s="10" t="s">
        <v>17</v>
      </c>
      <c r="Q28" s="40"/>
      <c r="R28" s="92"/>
      <c r="S28" s="38" t="s">
        <v>17</v>
      </c>
      <c r="T28" s="85"/>
      <c r="U28"/>
    </row>
    <row r="29" spans="1:26" s="20" customFormat="1" ht="18" customHeight="1" thickBot="1">
      <c r="A29" s="9">
        <f t="shared" si="3"/>
        <v>28</v>
      </c>
      <c r="B29" s="18" t="s">
        <v>52</v>
      </c>
      <c r="C29" s="59"/>
      <c r="D29" s="60"/>
      <c r="E29" s="10" t="str">
        <f>IF(Anmeldung!J28=" / ",CONCATENATE("Gruppe D Team #",Anmeldung!A28),Anmeldung!J28)</f>
        <v>Team 1, Gruppe D</v>
      </c>
      <c r="F29" s="10" t="s">
        <v>12</v>
      </c>
      <c r="G29" s="10" t="str">
        <f>IF(Anmeldung!$J$31="/",CONCATENATE("Gruppe D Team #",Anmeldung!$A$31),Anmeldung!$J$31)</f>
        <v>Team 4, Gruppe D</v>
      </c>
      <c r="H29" s="90">
        <f t="shared" si="0"/>
      </c>
      <c r="I29" s="38" t="s">
        <v>17</v>
      </c>
      <c r="J29" s="87">
        <f t="shared" si="1"/>
      </c>
      <c r="K29" s="89">
        <f t="shared" si="2"/>
        <v>0</v>
      </c>
      <c r="L29" s="79"/>
      <c r="M29" s="22" t="s">
        <v>17</v>
      </c>
      <c r="N29" s="91"/>
      <c r="O29" s="39"/>
      <c r="P29" s="10" t="s">
        <v>17</v>
      </c>
      <c r="Q29" s="40"/>
      <c r="R29" s="92"/>
      <c r="S29" s="38" t="s">
        <v>17</v>
      </c>
      <c r="T29" s="85"/>
      <c r="U29" s="19"/>
      <c r="V29" s="21"/>
      <c r="W29" s="21"/>
      <c r="X29" s="21"/>
      <c r="Y29" s="21"/>
      <c r="Z29" s="21"/>
    </row>
    <row r="30" spans="1:21" ht="18" customHeight="1">
      <c r="A30" s="9">
        <f t="shared" si="3"/>
        <v>29</v>
      </c>
      <c r="B30" s="18" t="s">
        <v>26</v>
      </c>
      <c r="C30" s="59"/>
      <c r="D30" s="77"/>
      <c r="E30" s="10" t="str">
        <f>IF(Anmeldung!$B$29="/",CONCATENATE("Gruppe A Team #",Anmeldung!$A$29),Anmeldung!$B$29)</f>
        <v>Team 2, Gruppe A</v>
      </c>
      <c r="F30" s="10" t="s">
        <v>12</v>
      </c>
      <c r="G30" s="10" t="str">
        <f>IF(Anmeldung!$B$32=" / ",CONCATENATE("Gruppe A Team #",Anmeldung!$A$32),Anmeldung!$B$32)</f>
        <v>Team 5, Gruppe A</v>
      </c>
      <c r="H30" s="90">
        <f t="shared" si="0"/>
      </c>
      <c r="I30" s="38" t="s">
        <v>17</v>
      </c>
      <c r="J30" s="87">
        <f t="shared" si="1"/>
      </c>
      <c r="K30" s="89">
        <f t="shared" si="2"/>
        <v>0</v>
      </c>
      <c r="L30" s="79"/>
      <c r="M30" s="22" t="s">
        <v>17</v>
      </c>
      <c r="N30" s="91"/>
      <c r="O30" s="39"/>
      <c r="P30" s="10" t="s">
        <v>17</v>
      </c>
      <c r="Q30" s="40"/>
      <c r="R30" s="92"/>
      <c r="S30" s="38" t="s">
        <v>17</v>
      </c>
      <c r="T30" s="85"/>
      <c r="U30"/>
    </row>
    <row r="31" spans="1:21" ht="18" customHeight="1">
      <c r="A31" s="9">
        <f t="shared" si="3"/>
        <v>30</v>
      </c>
      <c r="B31" s="18" t="s">
        <v>27</v>
      </c>
      <c r="C31" s="59"/>
      <c r="D31" s="60"/>
      <c r="E31" s="10" t="str">
        <f>IF(Anmeldung!$D$29="/",CONCATENATE("Gruppe B Team #",Anmeldung!$A$29),Anmeldung!$D$29)</f>
        <v>Team 2, Gruppe B</v>
      </c>
      <c r="F31" s="10" t="s">
        <v>12</v>
      </c>
      <c r="G31" s="10" t="str">
        <f>IF(Anmeldung!$D$32=" / ",CONCATENATE("Gruppe B Team #",Anmeldung!$A$32),Anmeldung!$D$32)</f>
        <v>Team 5, Gruppe B</v>
      </c>
      <c r="H31" s="90">
        <f t="shared" si="0"/>
      </c>
      <c r="I31" s="38" t="s">
        <v>17</v>
      </c>
      <c r="J31" s="87">
        <f t="shared" si="1"/>
      </c>
      <c r="K31" s="89">
        <f t="shared" si="2"/>
        <v>0</v>
      </c>
      <c r="L31" s="79"/>
      <c r="M31" s="22" t="s">
        <v>17</v>
      </c>
      <c r="N31" s="91"/>
      <c r="O31" s="39"/>
      <c r="P31" s="10" t="s">
        <v>17</v>
      </c>
      <c r="Q31" s="40"/>
      <c r="R31" s="92"/>
      <c r="S31" s="38" t="s">
        <v>17</v>
      </c>
      <c r="T31" s="85"/>
      <c r="U31"/>
    </row>
    <row r="32" spans="1:21" ht="18" customHeight="1">
      <c r="A32" s="9">
        <f t="shared" si="3"/>
        <v>31</v>
      </c>
      <c r="B32" s="18" t="s">
        <v>51</v>
      </c>
      <c r="C32" s="59"/>
      <c r="D32" s="77"/>
      <c r="E32" s="10" t="str">
        <f>IF(Anmeldung!$G$29="/",CONCATENATE("Gruppe C Team #",Anmeldung!$A$29),Anmeldung!$G$29)</f>
        <v>Team 2, Gruppe C</v>
      </c>
      <c r="F32" s="10" t="s">
        <v>12</v>
      </c>
      <c r="G32" s="10" t="str">
        <f>IF(Anmeldung!$G$32=" / ",CONCATENATE("Gruppe C Team #",Anmeldung!$A$32),Anmeldung!$G$32)</f>
        <v>Team 5, Gruppe C</v>
      </c>
      <c r="H32" s="90">
        <f t="shared" si="0"/>
      </c>
      <c r="I32" s="38" t="s">
        <v>17</v>
      </c>
      <c r="J32" s="87">
        <f t="shared" si="1"/>
      </c>
      <c r="K32" s="89">
        <f t="shared" si="2"/>
        <v>0</v>
      </c>
      <c r="L32" s="79"/>
      <c r="M32" s="22" t="s">
        <v>17</v>
      </c>
      <c r="N32" s="91"/>
      <c r="O32" s="39"/>
      <c r="P32" s="10" t="s">
        <v>17</v>
      </c>
      <c r="Q32" s="40"/>
      <c r="R32" s="92"/>
      <c r="S32" s="38" t="s">
        <v>17</v>
      </c>
      <c r="T32" s="85"/>
      <c r="U32"/>
    </row>
    <row r="33" spans="1:21" ht="18" customHeight="1">
      <c r="A33" s="9">
        <f t="shared" si="3"/>
        <v>32</v>
      </c>
      <c r="B33" s="18" t="s">
        <v>52</v>
      </c>
      <c r="C33" s="59"/>
      <c r="D33" s="60"/>
      <c r="E33" s="10" t="str">
        <f>IF(Anmeldung!$J$29="/",CONCATENATE("Gruppe D Team #",Anmeldung!$A$29),Anmeldung!$J$29)</f>
        <v>Team 2, Gruppe D</v>
      </c>
      <c r="F33" s="10" t="s">
        <v>12</v>
      </c>
      <c r="G33" s="10" t="str">
        <f>IF(Anmeldung!$J$32=" / ",CONCATENATE("Gruppe D Team #",Anmeldung!$A$32),Anmeldung!$J$32)</f>
        <v>Team 5, Gruppe D</v>
      </c>
      <c r="H33" s="90">
        <f t="shared" si="0"/>
      </c>
      <c r="I33" s="38" t="s">
        <v>17</v>
      </c>
      <c r="J33" s="87">
        <f t="shared" si="1"/>
      </c>
      <c r="K33" s="89">
        <f t="shared" si="2"/>
        <v>0</v>
      </c>
      <c r="L33" s="79"/>
      <c r="M33" s="22" t="s">
        <v>17</v>
      </c>
      <c r="N33" s="91"/>
      <c r="O33" s="39"/>
      <c r="P33" s="10" t="s">
        <v>17</v>
      </c>
      <c r="Q33" s="40"/>
      <c r="R33" s="92"/>
      <c r="S33" s="38" t="s">
        <v>17</v>
      </c>
      <c r="T33" s="85"/>
      <c r="U33"/>
    </row>
    <row r="34" spans="1:21" ht="18" customHeight="1">
      <c r="A34" s="9">
        <f t="shared" si="3"/>
        <v>33</v>
      </c>
      <c r="B34" s="18" t="s">
        <v>26</v>
      </c>
      <c r="C34" s="59"/>
      <c r="D34" s="77"/>
      <c r="E34" s="10" t="str">
        <f>IF(Anmeldung!B30="/",CONCATENATE("Gruppe A Team #",Anmeldung!A30),Anmeldung!B30)</f>
        <v>Team 3, Gruppe A</v>
      </c>
      <c r="F34" s="10" t="s">
        <v>12</v>
      </c>
      <c r="G34" s="10" t="str">
        <f>IF(Anmeldung!B33="/",CONCATENATE("Gruppe A Team #",Anmeldung!A33),Anmeldung!B33)</f>
        <v>Team 6, Gruppe A</v>
      </c>
      <c r="H34" s="90">
        <f aca="true" t="shared" si="4" ref="H34:H61">IF(L34=N34,"",SUM(IF(L34&gt;N34,1,0),IF(O34&gt;Q34,1,0),IF(R34&lt;=T34,0,1)))</f>
      </c>
      <c r="I34" s="38" t="s">
        <v>17</v>
      </c>
      <c r="J34" s="87">
        <f aca="true" t="shared" si="5" ref="J34:J61">IF(L34=N34,"",SUM(IF(L34&lt;N34,1,0),IF(O34&lt;Q34,1,0),IF(R34&gt;=T34,0,1)))</f>
      </c>
      <c r="K34" s="89">
        <f aca="true" t="shared" si="6" ref="K34:K61">SUM(V34-U34)</f>
        <v>0</v>
      </c>
      <c r="L34" s="79"/>
      <c r="M34" s="22" t="s">
        <v>17</v>
      </c>
      <c r="N34" s="91"/>
      <c r="O34" s="39"/>
      <c r="P34" s="10" t="s">
        <v>17</v>
      </c>
      <c r="Q34" s="40"/>
      <c r="R34" s="92"/>
      <c r="S34" s="38" t="s">
        <v>17</v>
      </c>
      <c r="T34" s="85"/>
      <c r="U34"/>
    </row>
    <row r="35" spans="1:21" ht="18" customHeight="1">
      <c r="A35" s="9">
        <f t="shared" si="3"/>
        <v>34</v>
      </c>
      <c r="B35" s="18" t="s">
        <v>27</v>
      </c>
      <c r="C35" s="59"/>
      <c r="D35" s="60"/>
      <c r="E35" s="10" t="str">
        <f>IF(Anmeldung!D30="/",CONCATENATE("Gruppe B Team #",Anmeldung!A30),Anmeldung!D30)</f>
        <v>Team 3, Gruppe B</v>
      </c>
      <c r="F35" s="10" t="s">
        <v>12</v>
      </c>
      <c r="G35" s="10" t="str">
        <f>IF(Anmeldung!D33="/",CONCATENATE("Gruppe B Team #",Anmeldung!A33),Anmeldung!D33)</f>
        <v>Team 6, Gruppe B</v>
      </c>
      <c r="H35" s="90">
        <f t="shared" si="4"/>
      </c>
      <c r="I35" s="38" t="s">
        <v>17</v>
      </c>
      <c r="J35" s="87">
        <f t="shared" si="5"/>
      </c>
      <c r="K35" s="89">
        <f t="shared" si="6"/>
        <v>0</v>
      </c>
      <c r="L35" s="79"/>
      <c r="M35" s="22" t="s">
        <v>17</v>
      </c>
      <c r="N35" s="91"/>
      <c r="O35" s="39"/>
      <c r="P35" s="10" t="s">
        <v>17</v>
      </c>
      <c r="Q35" s="40"/>
      <c r="R35" s="92"/>
      <c r="S35" s="38" t="s">
        <v>17</v>
      </c>
      <c r="T35" s="85"/>
      <c r="U35"/>
    </row>
    <row r="36" spans="1:21" ht="18" customHeight="1">
      <c r="A36" s="9">
        <f t="shared" si="3"/>
        <v>35</v>
      </c>
      <c r="B36" s="18" t="s">
        <v>51</v>
      </c>
      <c r="C36" s="59"/>
      <c r="D36" s="77"/>
      <c r="E36" s="10" t="str">
        <f>IF(Anmeldung!G30="/",CONCATENATE("Gruppe C Team #",Anmeldung!A30),Anmeldung!G30)</f>
        <v>Team 3, Gruppe C</v>
      </c>
      <c r="F36" s="10" t="s">
        <v>12</v>
      </c>
      <c r="G36" s="10" t="str">
        <f>IF(Anmeldung!G33="/",CONCATENATE("Gruppe C Team #",Anmeldung!A33),Anmeldung!G33)</f>
        <v>Team 6, Gruppe C</v>
      </c>
      <c r="H36" s="90">
        <f t="shared" si="4"/>
      </c>
      <c r="I36" s="38" t="s">
        <v>17</v>
      </c>
      <c r="J36" s="87">
        <f t="shared" si="5"/>
      </c>
      <c r="K36" s="89">
        <f t="shared" si="6"/>
        <v>0</v>
      </c>
      <c r="L36" s="79"/>
      <c r="M36" s="22" t="s">
        <v>17</v>
      </c>
      <c r="N36" s="91"/>
      <c r="O36" s="39"/>
      <c r="P36" s="10" t="s">
        <v>17</v>
      </c>
      <c r="Q36" s="40"/>
      <c r="R36" s="92"/>
      <c r="S36" s="38" t="s">
        <v>17</v>
      </c>
      <c r="T36" s="85"/>
      <c r="U36"/>
    </row>
    <row r="37" spans="1:21" ht="18" customHeight="1">
      <c r="A37" s="9">
        <f t="shared" si="3"/>
        <v>36</v>
      </c>
      <c r="B37" s="18" t="s">
        <v>52</v>
      </c>
      <c r="C37" s="59"/>
      <c r="D37" s="60"/>
      <c r="E37" s="10" t="str">
        <f>IF(Anmeldung!J30="/",CONCATENATE("Gruppe D Team #",Anmeldung!A30),Anmeldung!J30)</f>
        <v>Team 3, Gruppe D</v>
      </c>
      <c r="F37" s="10" t="s">
        <v>12</v>
      </c>
      <c r="G37" s="10" t="str">
        <f>IF(Anmeldung!J33="/",CONCATENATE("Gruppe D Team #",Anmeldung!A33),Anmeldung!J33)</f>
        <v>Team 6, Gruppe D</v>
      </c>
      <c r="H37" s="90">
        <f t="shared" si="4"/>
      </c>
      <c r="I37" s="38" t="s">
        <v>17</v>
      </c>
      <c r="J37" s="87">
        <f t="shared" si="5"/>
      </c>
      <c r="K37" s="89">
        <f t="shared" si="6"/>
        <v>0</v>
      </c>
      <c r="L37" s="79"/>
      <c r="M37" s="22" t="s">
        <v>17</v>
      </c>
      <c r="N37" s="91"/>
      <c r="O37" s="39"/>
      <c r="P37" s="10" t="s">
        <v>17</v>
      </c>
      <c r="Q37" s="40"/>
      <c r="R37" s="92"/>
      <c r="S37" s="38" t="s">
        <v>17</v>
      </c>
      <c r="T37" s="85"/>
      <c r="U37"/>
    </row>
    <row r="38" spans="1:21" ht="18" customHeight="1">
      <c r="A38" s="9">
        <f aca="true" t="shared" si="7" ref="A38:A61">SUM(A37,1)</f>
        <v>37</v>
      </c>
      <c r="B38" s="18" t="s">
        <v>26</v>
      </c>
      <c r="C38" s="59"/>
      <c r="D38" s="77"/>
      <c r="E38" s="10" t="str">
        <f>IF(Anmeldung!$B$31="/",CONCATENATE("Gruppe A Team #",Anmeldung!$A$31),Anmeldung!$B$31)</f>
        <v>Team 4, Gruppe A</v>
      </c>
      <c r="F38" s="10" t="s">
        <v>12</v>
      </c>
      <c r="G38" s="10" t="str">
        <f>IF(Anmeldung!$B$32=" / ",CONCATENATE("Gruppe A Team #",Anmeldung!$A$32),Anmeldung!$B$32)</f>
        <v>Team 5, Gruppe A</v>
      </c>
      <c r="H38" s="90">
        <f t="shared" si="4"/>
      </c>
      <c r="I38" s="38" t="s">
        <v>17</v>
      </c>
      <c r="J38" s="87">
        <f t="shared" si="5"/>
      </c>
      <c r="K38" s="89">
        <f t="shared" si="6"/>
        <v>0</v>
      </c>
      <c r="L38" s="79"/>
      <c r="M38" s="22" t="s">
        <v>17</v>
      </c>
      <c r="N38" s="91"/>
      <c r="O38" s="39"/>
      <c r="P38" s="10" t="s">
        <v>17</v>
      </c>
      <c r="Q38" s="40"/>
      <c r="R38" s="92"/>
      <c r="S38" s="38" t="s">
        <v>17</v>
      </c>
      <c r="T38" s="85"/>
      <c r="U38"/>
    </row>
    <row r="39" spans="1:21" ht="18" customHeight="1">
      <c r="A39" s="9">
        <f t="shared" si="7"/>
        <v>38</v>
      </c>
      <c r="B39" s="18" t="s">
        <v>27</v>
      </c>
      <c r="C39" s="59"/>
      <c r="D39" s="60"/>
      <c r="E39" s="10" t="str">
        <f>IF(Anmeldung!$D$31="/",CONCATENATE("Gruppe B Team #",Anmeldung!$A$31),Anmeldung!$D$31)</f>
        <v>Team 4, Gruppe B</v>
      </c>
      <c r="F39" s="10" t="s">
        <v>12</v>
      </c>
      <c r="G39" s="10" t="str">
        <f>IF(Anmeldung!$D$32=" / ",CONCATENATE("Gruppe B Team #",Anmeldung!$A$32),Anmeldung!$D$32)</f>
        <v>Team 5, Gruppe B</v>
      </c>
      <c r="H39" s="90">
        <f t="shared" si="4"/>
      </c>
      <c r="I39" s="38" t="s">
        <v>17</v>
      </c>
      <c r="J39" s="87">
        <f t="shared" si="5"/>
      </c>
      <c r="K39" s="89">
        <f t="shared" si="6"/>
        <v>0</v>
      </c>
      <c r="L39" s="79"/>
      <c r="M39" s="22" t="s">
        <v>17</v>
      </c>
      <c r="N39" s="91"/>
      <c r="O39" s="39"/>
      <c r="P39" s="10" t="s">
        <v>17</v>
      </c>
      <c r="Q39" s="40"/>
      <c r="R39" s="92"/>
      <c r="S39" s="38" t="s">
        <v>17</v>
      </c>
      <c r="T39" s="85"/>
      <c r="U39"/>
    </row>
    <row r="40" spans="1:21" ht="18" customHeight="1">
      <c r="A40" s="9">
        <f t="shared" si="7"/>
        <v>39</v>
      </c>
      <c r="B40" s="18" t="s">
        <v>51</v>
      </c>
      <c r="C40" s="59"/>
      <c r="D40" s="77"/>
      <c r="E40" s="10" t="str">
        <f>IF(Anmeldung!$G$31="/",CONCATENATE("Gruppe C Team #",Anmeldung!$A$31),Anmeldung!$G$31)</f>
        <v>Team 4, Gruppe C</v>
      </c>
      <c r="F40" s="10" t="s">
        <v>12</v>
      </c>
      <c r="G40" s="10" t="str">
        <f>IF(Anmeldung!$G$32=" / ",CONCATENATE("Gruppe C Team #",Anmeldung!$A$32),Anmeldung!$G$32)</f>
        <v>Team 5, Gruppe C</v>
      </c>
      <c r="H40" s="90">
        <f t="shared" si="4"/>
      </c>
      <c r="I40" s="38" t="s">
        <v>17</v>
      </c>
      <c r="J40" s="87">
        <f t="shared" si="5"/>
      </c>
      <c r="K40" s="89">
        <f t="shared" si="6"/>
        <v>0</v>
      </c>
      <c r="L40" s="79"/>
      <c r="M40" s="22" t="s">
        <v>17</v>
      </c>
      <c r="N40" s="91"/>
      <c r="O40" s="39"/>
      <c r="P40" s="10" t="s">
        <v>17</v>
      </c>
      <c r="Q40" s="40"/>
      <c r="R40" s="92"/>
      <c r="S40" s="38" t="s">
        <v>17</v>
      </c>
      <c r="T40" s="85"/>
      <c r="U40"/>
    </row>
    <row r="41" spans="1:21" ht="18" customHeight="1">
      <c r="A41" s="9">
        <f t="shared" si="7"/>
        <v>40</v>
      </c>
      <c r="B41" s="18" t="s">
        <v>52</v>
      </c>
      <c r="C41" s="59"/>
      <c r="D41" s="60"/>
      <c r="E41" s="10" t="str">
        <f>IF(Anmeldung!$J$31="/",CONCATENATE("Gruppe D Team #",Anmeldung!$A$31),Anmeldung!$J$31)</f>
        <v>Team 4, Gruppe D</v>
      </c>
      <c r="F41" s="10" t="s">
        <v>12</v>
      </c>
      <c r="G41" s="10" t="str">
        <f>IF(Anmeldung!$J$32=" / ",CONCATENATE("Gruppe D Team #",Anmeldung!$A$32),Anmeldung!$J$32)</f>
        <v>Team 5, Gruppe D</v>
      </c>
      <c r="H41" s="90">
        <f t="shared" si="4"/>
      </c>
      <c r="I41" s="38" t="s">
        <v>17</v>
      </c>
      <c r="J41" s="87">
        <f t="shared" si="5"/>
      </c>
      <c r="K41" s="89">
        <f t="shared" si="6"/>
        <v>0</v>
      </c>
      <c r="L41" s="79"/>
      <c r="M41" s="22" t="s">
        <v>17</v>
      </c>
      <c r="N41" s="91"/>
      <c r="O41" s="39"/>
      <c r="P41" s="10" t="s">
        <v>17</v>
      </c>
      <c r="Q41" s="40"/>
      <c r="R41" s="92"/>
      <c r="S41" s="38" t="s">
        <v>17</v>
      </c>
      <c r="T41" s="85"/>
      <c r="U41"/>
    </row>
    <row r="42" spans="1:21" ht="18" customHeight="1">
      <c r="A42" s="9">
        <f t="shared" si="7"/>
        <v>41</v>
      </c>
      <c r="B42" s="18" t="s">
        <v>26</v>
      </c>
      <c r="C42" s="59"/>
      <c r="D42" s="77"/>
      <c r="E42" s="10" t="str">
        <f>IF(Anmeldung!B28=" / ",CONCATENATE("Gruppe A Team #",Anmeldung!A28),Anmeldung!B28)</f>
        <v>Team 1, Gruppe A</v>
      </c>
      <c r="F42" s="10" t="s">
        <v>12</v>
      </c>
      <c r="G42" s="10" t="str">
        <f>IF(Anmeldung!B30="/",CONCATENATE("Gruppe A Team #",Anmeldung!A30),Anmeldung!B30)</f>
        <v>Team 3, Gruppe A</v>
      </c>
      <c r="H42" s="90">
        <f t="shared" si="4"/>
      </c>
      <c r="I42" s="38" t="s">
        <v>17</v>
      </c>
      <c r="J42" s="87">
        <f t="shared" si="5"/>
      </c>
      <c r="K42" s="89">
        <f t="shared" si="6"/>
        <v>0</v>
      </c>
      <c r="L42" s="79"/>
      <c r="M42" s="22" t="s">
        <v>17</v>
      </c>
      <c r="N42" s="91"/>
      <c r="O42" s="39"/>
      <c r="P42" s="10" t="s">
        <v>17</v>
      </c>
      <c r="Q42" s="40"/>
      <c r="R42" s="92"/>
      <c r="S42" s="38" t="s">
        <v>17</v>
      </c>
      <c r="T42" s="85"/>
      <c r="U42"/>
    </row>
    <row r="43" spans="1:21" ht="18" customHeight="1">
      <c r="A43" s="9">
        <f t="shared" si="7"/>
        <v>42</v>
      </c>
      <c r="B43" s="18" t="s">
        <v>27</v>
      </c>
      <c r="C43" s="59"/>
      <c r="D43" s="60"/>
      <c r="E43" s="10" t="str">
        <f>IF(Anmeldung!D28=" / ",CONCATENATE("Gruppe B Team #",Anmeldung!A28),Anmeldung!D28)</f>
        <v>Team 1, Gruppe B</v>
      </c>
      <c r="F43" s="10" t="s">
        <v>12</v>
      </c>
      <c r="G43" s="10" t="str">
        <f>IF(Anmeldung!D30="/",CONCATENATE("Gruppe B Team #",Anmeldung!A30),Anmeldung!D30)</f>
        <v>Team 3, Gruppe B</v>
      </c>
      <c r="H43" s="90">
        <f t="shared" si="4"/>
      </c>
      <c r="I43" s="38" t="s">
        <v>17</v>
      </c>
      <c r="J43" s="87">
        <f t="shared" si="5"/>
      </c>
      <c r="K43" s="89">
        <f t="shared" si="6"/>
        <v>0</v>
      </c>
      <c r="L43" s="79"/>
      <c r="M43" s="22" t="s">
        <v>17</v>
      </c>
      <c r="N43" s="91"/>
      <c r="O43" s="39"/>
      <c r="P43" s="10" t="s">
        <v>17</v>
      </c>
      <c r="Q43" s="40"/>
      <c r="R43" s="92"/>
      <c r="S43" s="38" t="s">
        <v>17</v>
      </c>
      <c r="T43" s="85"/>
      <c r="U43"/>
    </row>
    <row r="44" spans="1:21" ht="18" customHeight="1">
      <c r="A44" s="9">
        <f t="shared" si="7"/>
        <v>43</v>
      </c>
      <c r="B44" s="18" t="s">
        <v>51</v>
      </c>
      <c r="C44" s="59"/>
      <c r="D44" s="77"/>
      <c r="E44" s="10" t="str">
        <f>IF(Anmeldung!G28=" / ",CONCATENATE("Gruppe C Team #",Anmeldung!A28),Anmeldung!G28)</f>
        <v>Team 1, Gruppe C</v>
      </c>
      <c r="F44" s="10" t="s">
        <v>12</v>
      </c>
      <c r="G44" s="10" t="str">
        <f>IF(Anmeldung!G30="/",CONCATENATE("Gruppe C Team #",Anmeldung!A30),Anmeldung!G30)</f>
        <v>Team 3, Gruppe C</v>
      </c>
      <c r="H44" s="90">
        <f t="shared" si="4"/>
      </c>
      <c r="I44" s="38" t="s">
        <v>17</v>
      </c>
      <c r="J44" s="87">
        <f t="shared" si="5"/>
      </c>
      <c r="K44" s="89">
        <f t="shared" si="6"/>
        <v>0</v>
      </c>
      <c r="L44" s="79"/>
      <c r="M44" s="22" t="s">
        <v>17</v>
      </c>
      <c r="N44" s="91"/>
      <c r="O44" s="39"/>
      <c r="P44" s="10" t="s">
        <v>17</v>
      </c>
      <c r="Q44" s="40"/>
      <c r="R44" s="92"/>
      <c r="S44" s="38" t="s">
        <v>17</v>
      </c>
      <c r="T44" s="85"/>
      <c r="U44"/>
    </row>
    <row r="45" spans="1:21" ht="18" customHeight="1">
      <c r="A45" s="9">
        <f t="shared" si="7"/>
        <v>44</v>
      </c>
      <c r="B45" s="18" t="s">
        <v>52</v>
      </c>
      <c r="C45" s="59"/>
      <c r="D45" s="60"/>
      <c r="E45" s="10" t="str">
        <f>IF(Anmeldung!J28=" / ",CONCATENATE("Gruppe D Team #",Anmeldung!A28),Anmeldung!J28)</f>
        <v>Team 1, Gruppe D</v>
      </c>
      <c r="F45" s="10" t="s">
        <v>12</v>
      </c>
      <c r="G45" s="10" t="str">
        <f>IF(Anmeldung!J30="/",CONCATENATE("Gruppe D Team #",Anmeldung!A30),Anmeldung!J30)</f>
        <v>Team 3, Gruppe D</v>
      </c>
      <c r="H45" s="90">
        <f t="shared" si="4"/>
      </c>
      <c r="I45" s="38" t="s">
        <v>17</v>
      </c>
      <c r="J45" s="87">
        <f t="shared" si="5"/>
      </c>
      <c r="K45" s="89">
        <f t="shared" si="6"/>
        <v>0</v>
      </c>
      <c r="L45" s="79"/>
      <c r="M45" s="22" t="s">
        <v>17</v>
      </c>
      <c r="N45" s="91"/>
      <c r="O45" s="39"/>
      <c r="P45" s="10" t="s">
        <v>17</v>
      </c>
      <c r="Q45" s="40"/>
      <c r="R45" s="92"/>
      <c r="S45" s="38" t="s">
        <v>17</v>
      </c>
      <c r="T45" s="85"/>
      <c r="U45"/>
    </row>
    <row r="46" spans="1:21" ht="18" customHeight="1">
      <c r="A46" s="9">
        <f t="shared" si="7"/>
        <v>45</v>
      </c>
      <c r="B46" s="18" t="s">
        <v>26</v>
      </c>
      <c r="C46" s="59"/>
      <c r="D46" s="77"/>
      <c r="E46" s="10" t="str">
        <f>IF(Anmeldung!$B$29="/",CONCATENATE("Gruppe A Team #",Anmeldung!$A$29),Anmeldung!$B$29)</f>
        <v>Team 2, Gruppe A</v>
      </c>
      <c r="F46" s="10" t="s">
        <v>12</v>
      </c>
      <c r="G46" s="10" t="str">
        <f>IF(Anmeldung!B33="/",CONCATENATE("Gruppe A Team #",Anmeldung!A33),Anmeldung!B33)</f>
        <v>Team 6, Gruppe A</v>
      </c>
      <c r="H46" s="90">
        <f t="shared" si="4"/>
      </c>
      <c r="I46" s="38" t="s">
        <v>17</v>
      </c>
      <c r="J46" s="87">
        <f t="shared" si="5"/>
      </c>
      <c r="K46" s="89">
        <f t="shared" si="6"/>
        <v>0</v>
      </c>
      <c r="L46" s="79"/>
      <c r="M46" s="22" t="s">
        <v>17</v>
      </c>
      <c r="N46" s="91"/>
      <c r="O46" s="39"/>
      <c r="P46" s="10" t="s">
        <v>17</v>
      </c>
      <c r="Q46" s="40"/>
      <c r="R46" s="92"/>
      <c r="S46" s="38" t="s">
        <v>17</v>
      </c>
      <c r="T46" s="85"/>
      <c r="U46"/>
    </row>
    <row r="47" spans="1:21" ht="18" customHeight="1">
      <c r="A47" s="9">
        <f t="shared" si="7"/>
        <v>46</v>
      </c>
      <c r="B47" s="18" t="s">
        <v>27</v>
      </c>
      <c r="C47" s="59"/>
      <c r="D47" s="60"/>
      <c r="E47" s="10" t="str">
        <f>IF(Anmeldung!$D$29="/",CONCATENATE("Gruppe B Team #",Anmeldung!$A$29),Anmeldung!$D$29)</f>
        <v>Team 2, Gruppe B</v>
      </c>
      <c r="F47" s="10" t="s">
        <v>12</v>
      </c>
      <c r="G47" s="10" t="str">
        <f>IF(Anmeldung!D33="/",CONCATENATE("Gruppe B Team #",Anmeldung!A33),Anmeldung!D33)</f>
        <v>Team 6, Gruppe B</v>
      </c>
      <c r="H47" s="90">
        <f t="shared" si="4"/>
      </c>
      <c r="I47" s="38" t="s">
        <v>17</v>
      </c>
      <c r="J47" s="87">
        <f t="shared" si="5"/>
      </c>
      <c r="K47" s="89">
        <f t="shared" si="6"/>
        <v>0</v>
      </c>
      <c r="L47" s="79"/>
      <c r="M47" s="22" t="s">
        <v>17</v>
      </c>
      <c r="N47" s="91"/>
      <c r="O47" s="39"/>
      <c r="P47" s="10" t="s">
        <v>17</v>
      </c>
      <c r="Q47" s="40"/>
      <c r="R47" s="92"/>
      <c r="S47" s="38" t="s">
        <v>17</v>
      </c>
      <c r="T47" s="85"/>
      <c r="U47"/>
    </row>
    <row r="48" spans="1:21" ht="18" customHeight="1">
      <c r="A48" s="9">
        <f t="shared" si="7"/>
        <v>47</v>
      </c>
      <c r="B48" s="18" t="s">
        <v>51</v>
      </c>
      <c r="C48" s="59"/>
      <c r="D48" s="77"/>
      <c r="E48" s="10" t="str">
        <f>IF(Anmeldung!$G$29="/",CONCATENATE("Gruppe C Team #",Anmeldung!$A$29),Anmeldung!$G$29)</f>
        <v>Team 2, Gruppe C</v>
      </c>
      <c r="F48" s="10" t="s">
        <v>12</v>
      </c>
      <c r="G48" s="10" t="str">
        <f>IF(Anmeldung!G33="/",CONCATENATE("Gruppe C Team #",Anmeldung!A33),Anmeldung!G33)</f>
        <v>Team 6, Gruppe C</v>
      </c>
      <c r="H48" s="90">
        <f t="shared" si="4"/>
      </c>
      <c r="I48" s="38" t="s">
        <v>17</v>
      </c>
      <c r="J48" s="87">
        <f t="shared" si="5"/>
      </c>
      <c r="K48" s="89">
        <f t="shared" si="6"/>
        <v>0</v>
      </c>
      <c r="L48" s="79"/>
      <c r="M48" s="22" t="s">
        <v>17</v>
      </c>
      <c r="N48" s="91"/>
      <c r="O48" s="39"/>
      <c r="P48" s="10" t="s">
        <v>17</v>
      </c>
      <c r="Q48" s="40"/>
      <c r="R48" s="92"/>
      <c r="S48" s="38" t="s">
        <v>17</v>
      </c>
      <c r="T48" s="85"/>
      <c r="U48"/>
    </row>
    <row r="49" spans="1:21" ht="18" customHeight="1">
      <c r="A49" s="9">
        <f t="shared" si="7"/>
        <v>48</v>
      </c>
      <c r="B49" s="18" t="s">
        <v>52</v>
      </c>
      <c r="C49" s="59"/>
      <c r="D49" s="60"/>
      <c r="E49" s="10" t="str">
        <f>IF(Anmeldung!$J$29="/",CONCATENATE("Gruppe D Team #",Anmeldung!$A$29),Anmeldung!$J$29)</f>
        <v>Team 2, Gruppe D</v>
      </c>
      <c r="F49" s="10" t="s">
        <v>12</v>
      </c>
      <c r="G49" s="10" t="str">
        <f>IF(Anmeldung!J33="/",CONCATENATE("Gruppe D Team #",Anmeldung!A33),Anmeldung!J33)</f>
        <v>Team 6, Gruppe D</v>
      </c>
      <c r="H49" s="90">
        <f t="shared" si="4"/>
      </c>
      <c r="I49" s="38" t="s">
        <v>17</v>
      </c>
      <c r="J49" s="87">
        <f t="shared" si="5"/>
      </c>
      <c r="K49" s="89">
        <f t="shared" si="6"/>
        <v>0</v>
      </c>
      <c r="L49" s="79"/>
      <c r="M49" s="22" t="s">
        <v>17</v>
      </c>
      <c r="N49" s="91"/>
      <c r="O49" s="39"/>
      <c r="P49" s="10" t="s">
        <v>17</v>
      </c>
      <c r="Q49" s="40"/>
      <c r="R49" s="92"/>
      <c r="S49" s="38" t="s">
        <v>17</v>
      </c>
      <c r="T49" s="85"/>
      <c r="U49"/>
    </row>
    <row r="50" spans="1:21" ht="18" customHeight="1">
      <c r="A50" s="9">
        <f t="shared" si="7"/>
        <v>49</v>
      </c>
      <c r="B50" s="18" t="s">
        <v>26</v>
      </c>
      <c r="C50" s="59"/>
      <c r="D50" s="77"/>
      <c r="E50" s="10" t="str">
        <f>IF(Anmeldung!B30="/",CONCATENATE("Gruppe A Team #",Anmeldung!A30),Anmeldung!B30)</f>
        <v>Team 3, Gruppe A</v>
      </c>
      <c r="F50" s="10" t="s">
        <v>12</v>
      </c>
      <c r="G50" s="10" t="str">
        <f>IF(Anmeldung!B31="/",CONCATENATE("Gruppe A Team #",Anmeldung!A31),Anmeldung!B31)</f>
        <v>Team 4, Gruppe A</v>
      </c>
      <c r="H50" s="90">
        <f t="shared" si="4"/>
      </c>
      <c r="I50" s="38" t="s">
        <v>17</v>
      </c>
      <c r="J50" s="87">
        <f t="shared" si="5"/>
      </c>
      <c r="K50" s="89">
        <f t="shared" si="6"/>
        <v>0</v>
      </c>
      <c r="L50" s="79"/>
      <c r="M50" s="22" t="s">
        <v>17</v>
      </c>
      <c r="N50" s="91"/>
      <c r="O50" s="39"/>
      <c r="P50" s="10" t="s">
        <v>17</v>
      </c>
      <c r="Q50" s="40"/>
      <c r="R50" s="92"/>
      <c r="S50" s="38" t="s">
        <v>17</v>
      </c>
      <c r="T50" s="85"/>
      <c r="U50"/>
    </row>
    <row r="51" spans="1:21" ht="18" customHeight="1">
      <c r="A51" s="9">
        <f t="shared" si="7"/>
        <v>50</v>
      </c>
      <c r="B51" s="18" t="s">
        <v>27</v>
      </c>
      <c r="C51" s="59"/>
      <c r="D51" s="60"/>
      <c r="E51" s="10" t="str">
        <f>IF(Anmeldung!D30="/",CONCATENATE("Gruppe B Team #",Anmeldung!A30),Anmeldung!D30)</f>
        <v>Team 3, Gruppe B</v>
      </c>
      <c r="F51" s="10" t="s">
        <v>12</v>
      </c>
      <c r="G51" s="10" t="str">
        <f>IF(Anmeldung!D31="/",CONCATENATE("Gruppe B Team #",Anmeldung!A31),Anmeldung!D31)</f>
        <v>Team 4, Gruppe B</v>
      </c>
      <c r="H51" s="90">
        <f t="shared" si="4"/>
      </c>
      <c r="I51" s="38" t="s">
        <v>17</v>
      </c>
      <c r="J51" s="87">
        <f t="shared" si="5"/>
      </c>
      <c r="K51" s="89">
        <f t="shared" si="6"/>
        <v>0</v>
      </c>
      <c r="L51" s="79"/>
      <c r="M51" s="22" t="s">
        <v>17</v>
      </c>
      <c r="N51" s="91"/>
      <c r="O51" s="39"/>
      <c r="P51" s="10" t="s">
        <v>17</v>
      </c>
      <c r="Q51" s="40"/>
      <c r="R51" s="92"/>
      <c r="S51" s="38" t="s">
        <v>17</v>
      </c>
      <c r="T51" s="85"/>
      <c r="U51"/>
    </row>
    <row r="52" spans="1:21" ht="18" customHeight="1">
      <c r="A52" s="9">
        <f t="shared" si="7"/>
        <v>51</v>
      </c>
      <c r="B52" s="18" t="s">
        <v>51</v>
      </c>
      <c r="C52" s="59"/>
      <c r="D52" s="77"/>
      <c r="E52" s="10" t="str">
        <f>IF(Anmeldung!G30="/",CONCATENATE("Gruppe C Team #",Anmeldung!A30),Anmeldung!G30)</f>
        <v>Team 3, Gruppe C</v>
      </c>
      <c r="F52" s="10" t="s">
        <v>12</v>
      </c>
      <c r="G52" s="10" t="str">
        <f>IF(Anmeldung!G31="/",CONCATENATE("Gruppe C Team #",Anmeldung!A31),Anmeldung!G31)</f>
        <v>Team 4, Gruppe C</v>
      </c>
      <c r="H52" s="90">
        <f t="shared" si="4"/>
      </c>
      <c r="I52" s="38" t="s">
        <v>17</v>
      </c>
      <c r="J52" s="87">
        <f t="shared" si="5"/>
      </c>
      <c r="K52" s="89">
        <f t="shared" si="6"/>
        <v>0</v>
      </c>
      <c r="L52" s="79"/>
      <c r="M52" s="22" t="s">
        <v>17</v>
      </c>
      <c r="N52" s="91"/>
      <c r="O52" s="39"/>
      <c r="P52" s="10" t="s">
        <v>17</v>
      </c>
      <c r="Q52" s="40"/>
      <c r="R52" s="92"/>
      <c r="S52" s="38" t="s">
        <v>17</v>
      </c>
      <c r="T52" s="85"/>
      <c r="U52"/>
    </row>
    <row r="53" spans="1:21" ht="18" customHeight="1">
      <c r="A53" s="9">
        <f t="shared" si="7"/>
        <v>52</v>
      </c>
      <c r="B53" s="18" t="s">
        <v>52</v>
      </c>
      <c r="C53" s="59"/>
      <c r="D53" s="60"/>
      <c r="E53" s="10" t="str">
        <f>IF(Anmeldung!J30="/",CONCATENATE("Gruppe D Team #",Anmeldung!A30),Anmeldung!J30)</f>
        <v>Team 3, Gruppe D</v>
      </c>
      <c r="F53" s="10" t="s">
        <v>12</v>
      </c>
      <c r="G53" s="10" t="str">
        <f>IF(Anmeldung!J31="/",CONCATENATE("Gruppe D Team #",Anmeldung!A31),Anmeldung!J31)</f>
        <v>Team 4, Gruppe D</v>
      </c>
      <c r="H53" s="90">
        <f t="shared" si="4"/>
      </c>
      <c r="I53" s="38" t="s">
        <v>17</v>
      </c>
      <c r="J53" s="87">
        <f t="shared" si="5"/>
      </c>
      <c r="K53" s="89">
        <f t="shared" si="6"/>
        <v>0</v>
      </c>
      <c r="L53" s="79"/>
      <c r="M53" s="22" t="s">
        <v>17</v>
      </c>
      <c r="N53" s="91"/>
      <c r="O53" s="39"/>
      <c r="P53" s="10" t="s">
        <v>17</v>
      </c>
      <c r="Q53" s="40"/>
      <c r="R53" s="92"/>
      <c r="S53" s="38" t="s">
        <v>17</v>
      </c>
      <c r="T53" s="85"/>
      <c r="U53"/>
    </row>
    <row r="54" spans="1:21" ht="18" customHeight="1">
      <c r="A54" s="9">
        <f t="shared" si="7"/>
        <v>53</v>
      </c>
      <c r="B54" s="18" t="s">
        <v>26</v>
      </c>
      <c r="C54" s="62"/>
      <c r="D54" s="77"/>
      <c r="E54" s="22" t="str">
        <f>IF(Anmeldung!B28=" / ",CONCATENATE("Gruppe A Team #",Anmeldung!A28),Anmeldung!B28)</f>
        <v>Team 1, Gruppe A</v>
      </c>
      <c r="F54" s="22" t="s">
        <v>12</v>
      </c>
      <c r="G54" s="10" t="str">
        <f>IF(Anmeldung!$B$29="/",CONCATENATE("Gruppe A Team #",Anmeldung!$A$29),Anmeldung!$B$29)</f>
        <v>Team 2, Gruppe A</v>
      </c>
      <c r="H54" s="90">
        <f t="shared" si="4"/>
      </c>
      <c r="I54" s="38" t="s">
        <v>17</v>
      </c>
      <c r="J54" s="87">
        <f t="shared" si="5"/>
      </c>
      <c r="K54" s="89">
        <f t="shared" si="6"/>
        <v>0</v>
      </c>
      <c r="L54" s="79"/>
      <c r="M54" s="22" t="s">
        <v>17</v>
      </c>
      <c r="N54" s="91"/>
      <c r="O54" s="39"/>
      <c r="P54" s="10" t="s">
        <v>17</v>
      </c>
      <c r="Q54" s="40"/>
      <c r="R54" s="92"/>
      <c r="S54" s="38" t="s">
        <v>17</v>
      </c>
      <c r="T54" s="85"/>
      <c r="U54"/>
    </row>
    <row r="55" spans="1:21" ht="18" customHeight="1">
      <c r="A55" s="9">
        <f t="shared" si="7"/>
        <v>54</v>
      </c>
      <c r="B55" s="18" t="s">
        <v>27</v>
      </c>
      <c r="C55" s="59"/>
      <c r="D55" s="60"/>
      <c r="E55" s="10" t="str">
        <f>IF(Anmeldung!D28=" / ",CONCATENATE("Gruppe B Team #",Anmeldung!A28),Anmeldung!D28)</f>
        <v>Team 1, Gruppe B</v>
      </c>
      <c r="F55" s="10" t="s">
        <v>12</v>
      </c>
      <c r="G55" s="10" t="str">
        <f>IF(Anmeldung!$D$29="/",CONCATENATE("Gruppe B Team #",Anmeldung!$A$29),Anmeldung!$D$29)</f>
        <v>Team 2, Gruppe B</v>
      </c>
      <c r="H55" s="90">
        <f t="shared" si="4"/>
      </c>
      <c r="I55" s="38" t="s">
        <v>17</v>
      </c>
      <c r="J55" s="87">
        <f t="shared" si="5"/>
      </c>
      <c r="K55" s="89">
        <f t="shared" si="6"/>
        <v>0</v>
      </c>
      <c r="L55" s="79"/>
      <c r="M55" s="22" t="s">
        <v>17</v>
      </c>
      <c r="N55" s="91"/>
      <c r="O55" s="39"/>
      <c r="P55" s="10" t="s">
        <v>17</v>
      </c>
      <c r="Q55" s="40"/>
      <c r="R55" s="92"/>
      <c r="S55" s="38" t="s">
        <v>17</v>
      </c>
      <c r="T55" s="85"/>
      <c r="U55"/>
    </row>
    <row r="56" spans="1:21" ht="18" customHeight="1">
      <c r="A56" s="9">
        <f t="shared" si="7"/>
        <v>55</v>
      </c>
      <c r="B56" s="18" t="s">
        <v>51</v>
      </c>
      <c r="C56" s="62"/>
      <c r="D56" s="77"/>
      <c r="E56" s="22" t="str">
        <f>IF(Anmeldung!G28=" / ",CONCATENATE("Gruppe C Team #",Anmeldung!A28),Anmeldung!G28)</f>
        <v>Team 1, Gruppe C</v>
      </c>
      <c r="F56" s="22" t="s">
        <v>12</v>
      </c>
      <c r="G56" s="10" t="str">
        <f>IF(Anmeldung!$G$29="/",CONCATENATE("Gruppe C Team #",Anmeldung!$A$29),Anmeldung!$G$29)</f>
        <v>Team 2, Gruppe C</v>
      </c>
      <c r="H56" s="90">
        <f t="shared" si="4"/>
      </c>
      <c r="I56" s="38" t="s">
        <v>17</v>
      </c>
      <c r="J56" s="87">
        <f t="shared" si="5"/>
      </c>
      <c r="K56" s="89">
        <f t="shared" si="6"/>
        <v>0</v>
      </c>
      <c r="L56" s="79"/>
      <c r="M56" s="22" t="s">
        <v>17</v>
      </c>
      <c r="N56" s="91"/>
      <c r="O56" s="39"/>
      <c r="P56" s="10" t="s">
        <v>17</v>
      </c>
      <c r="Q56" s="40"/>
      <c r="R56" s="92"/>
      <c r="S56" s="38" t="s">
        <v>17</v>
      </c>
      <c r="T56" s="85"/>
      <c r="U56"/>
    </row>
    <row r="57" spans="1:21" ht="18" customHeight="1">
      <c r="A57" s="9">
        <f t="shared" si="7"/>
        <v>56</v>
      </c>
      <c r="B57" s="18" t="s">
        <v>52</v>
      </c>
      <c r="C57" s="59"/>
      <c r="D57" s="60"/>
      <c r="E57" s="10" t="str">
        <f>IF(Anmeldung!J28=" / ",CONCATENATE("Gruppe D Team #",Anmeldung!A28),Anmeldung!J28)</f>
        <v>Team 1, Gruppe D</v>
      </c>
      <c r="F57" s="10" t="s">
        <v>12</v>
      </c>
      <c r="G57" s="10" t="str">
        <f>IF(Anmeldung!$J$29="/",CONCATENATE("Gruppe D Team #",Anmeldung!$A$29),Anmeldung!$J$29)</f>
        <v>Team 2, Gruppe D</v>
      </c>
      <c r="H57" s="90">
        <f t="shared" si="4"/>
      </c>
      <c r="I57" s="38" t="s">
        <v>17</v>
      </c>
      <c r="J57" s="87">
        <f t="shared" si="5"/>
      </c>
      <c r="K57" s="89">
        <f t="shared" si="6"/>
        <v>0</v>
      </c>
      <c r="L57" s="79"/>
      <c r="M57" s="22" t="s">
        <v>17</v>
      </c>
      <c r="N57" s="91"/>
      <c r="O57" s="39"/>
      <c r="P57" s="10" t="s">
        <v>17</v>
      </c>
      <c r="Q57" s="40"/>
      <c r="R57" s="92"/>
      <c r="S57" s="38" t="s">
        <v>17</v>
      </c>
      <c r="T57" s="85"/>
      <c r="U57"/>
    </row>
    <row r="58" spans="1:21" ht="18" customHeight="1">
      <c r="A58" s="9">
        <f t="shared" si="7"/>
        <v>57</v>
      </c>
      <c r="B58" s="18" t="s">
        <v>26</v>
      </c>
      <c r="C58" s="59"/>
      <c r="D58" s="77"/>
      <c r="E58" s="10" t="str">
        <f>IF(Anmeldung!B32=" / ",CONCATENATE("Gruppe A Team #",Anmeldung!A32),Anmeldung!B32)</f>
        <v>Team 5, Gruppe A</v>
      </c>
      <c r="F58" s="10" t="s">
        <v>12</v>
      </c>
      <c r="G58" s="10" t="str">
        <f>IF(Anmeldung!B33="/",CONCATENATE("Gruppe A Team #",Anmeldung!A33),Anmeldung!B33)</f>
        <v>Team 6, Gruppe A</v>
      </c>
      <c r="H58" s="90">
        <f t="shared" si="4"/>
      </c>
      <c r="I58" s="38" t="s">
        <v>17</v>
      </c>
      <c r="J58" s="87">
        <f t="shared" si="5"/>
      </c>
      <c r="K58" s="89">
        <f t="shared" si="6"/>
        <v>0</v>
      </c>
      <c r="L58" s="79"/>
      <c r="M58" s="22" t="s">
        <v>17</v>
      </c>
      <c r="N58" s="91"/>
      <c r="O58" s="39"/>
      <c r="P58" s="10" t="s">
        <v>17</v>
      </c>
      <c r="Q58" s="40"/>
      <c r="R58" s="92"/>
      <c r="S58" s="38" t="s">
        <v>17</v>
      </c>
      <c r="T58" s="85"/>
      <c r="U58"/>
    </row>
    <row r="59" spans="1:26" s="20" customFormat="1" ht="18" customHeight="1" thickBot="1">
      <c r="A59" s="9">
        <f t="shared" si="7"/>
        <v>58</v>
      </c>
      <c r="B59" s="18" t="s">
        <v>27</v>
      </c>
      <c r="C59" s="59"/>
      <c r="D59" s="60"/>
      <c r="E59" s="10" t="str">
        <f>IF(Anmeldung!D32=" / ",CONCATENATE("Gruppe B Team #",Anmeldung!A32),Anmeldung!D32)</f>
        <v>Team 5, Gruppe B</v>
      </c>
      <c r="F59" s="10" t="s">
        <v>12</v>
      </c>
      <c r="G59" s="10" t="str">
        <f>IF(Anmeldung!D33="/",CONCATENATE("Gruppe B Team #",Anmeldung!A33),Anmeldung!D33)</f>
        <v>Team 6, Gruppe B</v>
      </c>
      <c r="H59" s="90">
        <f t="shared" si="4"/>
      </c>
      <c r="I59" s="38" t="s">
        <v>17</v>
      </c>
      <c r="J59" s="87">
        <f t="shared" si="5"/>
      </c>
      <c r="K59" s="89">
        <f t="shared" si="6"/>
        <v>0</v>
      </c>
      <c r="L59" s="79"/>
      <c r="M59" s="22" t="s">
        <v>17</v>
      </c>
      <c r="N59" s="91"/>
      <c r="O59" s="39"/>
      <c r="P59" s="10" t="s">
        <v>17</v>
      </c>
      <c r="Q59" s="40"/>
      <c r="R59" s="92"/>
      <c r="S59" s="38" t="s">
        <v>17</v>
      </c>
      <c r="T59" s="85"/>
      <c r="U59" s="19"/>
      <c r="V59" s="21"/>
      <c r="W59" s="21"/>
      <c r="X59" s="21"/>
      <c r="Y59" s="21"/>
      <c r="Z59" s="21"/>
    </row>
    <row r="60" spans="1:21" ht="18" customHeight="1">
      <c r="A60" s="9">
        <f t="shared" si="7"/>
        <v>59</v>
      </c>
      <c r="B60" s="18" t="s">
        <v>51</v>
      </c>
      <c r="C60" s="59"/>
      <c r="D60" s="77"/>
      <c r="E60" s="10" t="str">
        <f>IF(Anmeldung!G32=" / ",CONCATENATE("Gruppe C Team #",Anmeldung!A32),Anmeldung!G32)</f>
        <v>Team 5, Gruppe C</v>
      </c>
      <c r="F60" s="10" t="s">
        <v>12</v>
      </c>
      <c r="G60" s="10" t="str">
        <f>IF(Anmeldung!G33="/",CONCATENATE("Gruppe C Team #",Anmeldung!A33),Anmeldung!G33)</f>
        <v>Team 6, Gruppe C</v>
      </c>
      <c r="H60" s="90">
        <f t="shared" si="4"/>
      </c>
      <c r="I60" s="38" t="s">
        <v>17</v>
      </c>
      <c r="J60" s="87">
        <f t="shared" si="5"/>
      </c>
      <c r="K60" s="89">
        <f t="shared" si="6"/>
        <v>0</v>
      </c>
      <c r="L60" s="79"/>
      <c r="M60" s="22" t="s">
        <v>17</v>
      </c>
      <c r="N60" s="91"/>
      <c r="O60" s="39"/>
      <c r="P60" s="10" t="s">
        <v>17</v>
      </c>
      <c r="Q60" s="40"/>
      <c r="R60" s="92"/>
      <c r="S60" s="38" t="s">
        <v>17</v>
      </c>
      <c r="T60" s="85"/>
      <c r="U60"/>
    </row>
    <row r="61" spans="1:26" s="20" customFormat="1" ht="18" customHeight="1" thickBot="1">
      <c r="A61" s="9">
        <f t="shared" si="7"/>
        <v>60</v>
      </c>
      <c r="B61" s="18" t="s">
        <v>52</v>
      </c>
      <c r="C61" s="59"/>
      <c r="D61" s="60"/>
      <c r="E61" s="10" t="str">
        <f>IF(Anmeldung!J32=" / ",CONCATENATE("Gruppe D Team #",Anmeldung!A32),Anmeldung!J32)</f>
        <v>Team 5, Gruppe D</v>
      </c>
      <c r="F61" s="10" t="s">
        <v>12</v>
      </c>
      <c r="G61" s="10" t="str">
        <f>IF(Anmeldung!J33="/",CONCATENATE("Gruppe D Team #",Anmeldung!A33),Anmeldung!J33)</f>
        <v>Team 6, Gruppe D</v>
      </c>
      <c r="H61" s="90">
        <f t="shared" si="4"/>
      </c>
      <c r="I61" s="38" t="s">
        <v>17</v>
      </c>
      <c r="J61" s="87">
        <f t="shared" si="5"/>
      </c>
      <c r="K61" s="89">
        <f t="shared" si="6"/>
        <v>0</v>
      </c>
      <c r="L61" s="79"/>
      <c r="M61" s="22" t="s">
        <v>17</v>
      </c>
      <c r="N61" s="91"/>
      <c r="O61" s="39"/>
      <c r="P61" s="10" t="s">
        <v>17</v>
      </c>
      <c r="Q61" s="40"/>
      <c r="R61" s="92"/>
      <c r="S61" s="38" t="s">
        <v>17</v>
      </c>
      <c r="T61" s="85"/>
      <c r="U61" s="19"/>
      <c r="V61" s="21"/>
      <c r="W61" s="21"/>
      <c r="X61" s="21"/>
      <c r="Y61" s="21"/>
      <c r="Z61" s="21"/>
    </row>
    <row r="63" spans="7:13" ht="15">
      <c r="G63" s="177"/>
      <c r="H63" s="177"/>
      <c r="I63" s="177"/>
      <c r="J63" s="177"/>
      <c r="K63" s="177"/>
      <c r="L63" s="177"/>
      <c r="M63" s="177"/>
    </row>
    <row r="64" spans="7:13" ht="15">
      <c r="G64" s="177"/>
      <c r="H64" s="177"/>
      <c r="I64" s="177"/>
      <c r="J64" s="177"/>
      <c r="K64" s="177"/>
      <c r="L64" s="177"/>
      <c r="M64" s="177"/>
    </row>
    <row r="65" spans="7:13" ht="15">
      <c r="G65" s="177"/>
      <c r="H65" s="177"/>
      <c r="I65" s="177"/>
      <c r="J65" s="177"/>
      <c r="K65" s="177"/>
      <c r="L65" s="177"/>
      <c r="M65" s="177"/>
    </row>
    <row r="66" spans="7:13" ht="15">
      <c r="G66" s="177"/>
      <c r="H66" s="177"/>
      <c r="I66" s="177"/>
      <c r="J66" s="177"/>
      <c r="K66" s="177"/>
      <c r="L66" s="177"/>
      <c r="M66" s="177"/>
    </row>
    <row r="67" spans="7:13" ht="15">
      <c r="G67" s="177"/>
      <c r="H67" s="177"/>
      <c r="I67" s="177"/>
      <c r="J67" s="177"/>
      <c r="K67" s="177"/>
      <c r="L67" s="177"/>
      <c r="M67" s="177"/>
    </row>
    <row r="68" spans="7:13" ht="15">
      <c r="G68" s="177"/>
      <c r="H68" s="177"/>
      <c r="I68" s="177"/>
      <c r="J68" s="177"/>
      <c r="K68" s="177"/>
      <c r="L68" s="177"/>
      <c r="M68" s="177"/>
    </row>
    <row r="69" spans="7:13" ht="15">
      <c r="G69" s="177"/>
      <c r="H69" s="177"/>
      <c r="I69" s="177"/>
      <c r="J69" s="177"/>
      <c r="K69" s="177"/>
      <c r="L69" s="177"/>
      <c r="M69" s="177"/>
    </row>
    <row r="70" spans="7:13" ht="15">
      <c r="G70" s="177"/>
      <c r="H70" s="177"/>
      <c r="I70" s="177"/>
      <c r="J70" s="177"/>
      <c r="K70" s="177"/>
      <c r="L70" s="177"/>
      <c r="M70" s="177"/>
    </row>
    <row r="71" spans="7:13" ht="15">
      <c r="G71" s="177"/>
      <c r="H71" s="177"/>
      <c r="I71" s="177"/>
      <c r="J71" s="177"/>
      <c r="K71" s="177"/>
      <c r="L71" s="177"/>
      <c r="M71" s="177"/>
    </row>
    <row r="72" spans="7:13" ht="15">
      <c r="G72" s="177"/>
      <c r="H72" s="177"/>
      <c r="I72" s="177"/>
      <c r="J72" s="177"/>
      <c r="K72" s="177"/>
      <c r="L72" s="177"/>
      <c r="M72" s="177"/>
    </row>
    <row r="73" spans="7:13" ht="15">
      <c r="G73" s="177"/>
      <c r="H73" s="177"/>
      <c r="I73" s="177"/>
      <c r="J73" s="177"/>
      <c r="K73" s="177"/>
      <c r="L73" s="177"/>
      <c r="M73" s="177"/>
    </row>
    <row r="74" spans="7:13" ht="15">
      <c r="G74" s="177"/>
      <c r="H74" s="177"/>
      <c r="I74" s="177"/>
      <c r="J74" s="177"/>
      <c r="K74" s="177"/>
      <c r="L74" s="177"/>
      <c r="M74" s="177"/>
    </row>
    <row r="75" spans="7:13" ht="15">
      <c r="G75" s="177"/>
      <c r="H75" s="177"/>
      <c r="I75" s="177"/>
      <c r="J75" s="177"/>
      <c r="K75" s="177"/>
      <c r="L75" s="177"/>
      <c r="M75" s="177"/>
    </row>
    <row r="76" spans="7:13" ht="15">
      <c r="G76" s="177"/>
      <c r="H76" s="177"/>
      <c r="I76" s="177"/>
      <c r="J76" s="177"/>
      <c r="K76" s="177"/>
      <c r="L76" s="177"/>
      <c r="M76" s="177"/>
    </row>
    <row r="77" spans="7:13" ht="15">
      <c r="G77" s="177"/>
      <c r="H77" s="177"/>
      <c r="I77" s="177"/>
      <c r="J77" s="177"/>
      <c r="K77" s="177"/>
      <c r="L77" s="177"/>
      <c r="M77" s="177"/>
    </row>
    <row r="78" spans="7:13" ht="15">
      <c r="G78" s="177"/>
      <c r="H78" s="177"/>
      <c r="I78" s="177"/>
      <c r="J78" s="177"/>
      <c r="K78" s="177"/>
      <c r="L78" s="177"/>
      <c r="M78" s="177"/>
    </row>
    <row r="79" spans="7:13" ht="15">
      <c r="G79" s="177"/>
      <c r="H79" s="177"/>
      <c r="I79" s="177"/>
      <c r="J79" s="177"/>
      <c r="K79" s="177"/>
      <c r="L79" s="177"/>
      <c r="M79" s="177"/>
    </row>
  </sheetData>
  <sheetProtection password="CCA4" sheet="1" formatCells="0" formatColumns="0" formatRows="0" selectLockedCells="1"/>
  <printOptions horizontalCentered="1"/>
  <pageMargins left="0.1968503937007874" right="0.1968503937007874" top="0.5118110236220472" bottom="0.2362204724409449" header="0.31496062992125984" footer="0.4330708661417323"/>
  <pageSetup fitToHeight="2" horizontalDpi="600" verticalDpi="600" orientation="portrait" paperSize="9" scale="70" r:id="rId1"/>
  <headerFooter alignWithMargins="0">
    <oddHeader>&amp;C&amp;12Spielplan - Resultate Gruppenspiele Vorrunde 24 Teams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J16" sqref="J16"/>
    </sheetView>
  </sheetViews>
  <sheetFormatPr defaultColWidth="11.421875" defaultRowHeight="12.75"/>
  <cols>
    <col min="1" max="1" width="16.140625" style="30" customWidth="1"/>
    <col min="2" max="2" width="2.7109375" style="31" customWidth="1"/>
    <col min="3" max="3" width="1.57421875" style="31" bestFit="1" customWidth="1"/>
    <col min="4" max="4" width="2.7109375" style="31" customWidth="1"/>
    <col min="5" max="5" width="4.28125" style="31" customWidth="1"/>
    <col min="6" max="6" width="2.7109375" style="31" customWidth="1"/>
    <col min="7" max="7" width="1.57421875" style="31" bestFit="1" customWidth="1"/>
    <col min="8" max="8" width="2.7109375" style="31" customWidth="1"/>
    <col min="9" max="9" width="8.00390625" style="31" bestFit="1" customWidth="1"/>
    <col min="10" max="10" width="5.00390625" style="31" customWidth="1"/>
    <col min="11" max="11" width="5.57421875" style="54" hidden="1" customWidth="1"/>
    <col min="12" max="12" width="3.57421875" style="30" customWidth="1"/>
    <col min="13" max="13" width="3.00390625" style="2" customWidth="1"/>
    <col min="14" max="14" width="22.8515625" style="0" customWidth="1"/>
    <col min="15" max="15" width="3.7109375" style="0" hidden="1" customWidth="1"/>
    <col min="16" max="16384" width="11.421875" style="30" customWidth="1"/>
  </cols>
  <sheetData>
    <row r="1" spans="1:14" ht="24" thickBot="1" thickTop="1">
      <c r="A1" s="27" t="s">
        <v>23</v>
      </c>
      <c r="B1" s="199" t="s">
        <v>28</v>
      </c>
      <c r="C1" s="198"/>
      <c r="D1" s="200"/>
      <c r="E1" s="48" t="s">
        <v>30</v>
      </c>
      <c r="F1" s="198" t="s">
        <v>31</v>
      </c>
      <c r="G1" s="198"/>
      <c r="H1" s="198"/>
      <c r="I1" s="37" t="s">
        <v>32</v>
      </c>
      <c r="J1" s="41" t="s">
        <v>33</v>
      </c>
      <c r="K1" s="66" t="s">
        <v>20</v>
      </c>
      <c r="L1" s="36"/>
      <c r="M1" s="17" t="s">
        <v>0</v>
      </c>
      <c r="N1" s="15" t="s">
        <v>5</v>
      </c>
    </row>
    <row r="2" spans="1:15" ht="13.5" thickTop="1">
      <c r="A2" s="26" t="str">
        <f>Anmeldung!B28</f>
        <v>Team 1, Gruppe A</v>
      </c>
      <c r="B2" s="24">
        <f>SUM(Vorrunde!H54,Vorrunde!H42,Vorrunde!H26,Vorrunde!H18,Vorrunde!H2)</f>
        <v>0</v>
      </c>
      <c r="C2" s="31" t="s">
        <v>29</v>
      </c>
      <c r="D2" s="33">
        <f>SUM(Vorrunde!J54,Vorrunde!J42,Vorrunde!J26,Vorrunde!J18,Vorrunde!J2)</f>
        <v>0</v>
      </c>
      <c r="E2" s="49">
        <f aca="true" t="shared" si="0" ref="E2:E7">SUM(B2-D2)</f>
        <v>0</v>
      </c>
      <c r="F2" s="31">
        <f>SUM(Vorrunde!L54,Vorrunde!O54,Vorrunde!R54,Vorrunde!L42,Vorrunde!O42,Vorrunde!R42,Vorrunde!L26,Vorrunde!O26,Vorrunde!R26,Vorrunde!L18,Vorrunde!O18,Vorrunde!R18,Vorrunde!L2,Vorrunde!O2,Vorrunde!R2)</f>
        <v>0</v>
      </c>
      <c r="G2" s="31" t="s">
        <v>29</v>
      </c>
      <c r="H2" s="31">
        <f>SUM(Vorrunde!N54,Vorrunde!Q54,Vorrunde!T54,Vorrunde!N42,Vorrunde!Q42,Vorrunde!T42,Vorrunde!N26,Vorrunde!Q26,Vorrunde!T26,Vorrunde!N18,Vorrunde!Q18,Vorrunde!T18,Vorrunde!N2,Vorrunde!Q2,Vorrunde!T2)</f>
        <v>0</v>
      </c>
      <c r="I2" s="46" t="str">
        <f aca="true" t="shared" si="1" ref="I2:I7">IF((H2=0),"Quotient",F2/H2)</f>
        <v>Quotient</v>
      </c>
      <c r="J2" s="43">
        <f aca="true" t="shared" si="2" ref="J2:J7">RANK(B2,$B$2:$B$7)</f>
        <v>1</v>
      </c>
      <c r="K2" s="67" t="str">
        <f aca="true" t="shared" si="3" ref="K2:K7">A2</f>
        <v>Team 1, Gruppe A</v>
      </c>
      <c r="L2" s="36"/>
      <c r="M2" s="35">
        <v>1</v>
      </c>
      <c r="N2" s="4" t="str">
        <f>IF(B2+B3+B4+B5+B6+B7=0,"Team 1, Gruppe A",VLOOKUP(1,J2:K7,2,FALSE))</f>
        <v>Team 1, Gruppe A</v>
      </c>
      <c r="O2" s="11" t="s">
        <v>34</v>
      </c>
    </row>
    <row r="3" spans="1:15" ht="12.75">
      <c r="A3" s="26" t="str">
        <f>Anmeldung!B29</f>
        <v>Team 2, Gruppe A</v>
      </c>
      <c r="B3" s="24">
        <f>SUM(Vorrunde!J54,Vorrunde!H6,Vorrunde!H22,Vorrunde!H30,Vorrunde!H46)</f>
        <v>0</v>
      </c>
      <c r="C3" s="31" t="s">
        <v>29</v>
      </c>
      <c r="D3" s="33">
        <f>SUM(Vorrunde!H54,Vorrunde!J6,Vorrunde!J22,Vorrunde!J30,Vorrunde!J46)</f>
        <v>0</v>
      </c>
      <c r="E3" s="49">
        <f t="shared" si="0"/>
        <v>0</v>
      </c>
      <c r="F3" s="31">
        <f>SUM(Vorrunde!N54,Vorrunde!Q54,Vorrunde!T54,Vorrunde!L6,Vorrunde!O6,Vorrunde!R6,Vorrunde!L22,Vorrunde!O22,Vorrunde!R22,Vorrunde!L30,Vorrunde!O30,Vorrunde!R30,Vorrunde!L46,Vorrunde!O46,Vorrunde!R46)</f>
        <v>0</v>
      </c>
      <c r="G3" s="31" t="s">
        <v>29</v>
      </c>
      <c r="H3" s="31">
        <f>SUM(Vorrunde!L54,Vorrunde!O54,Vorrunde!R54,Vorrunde!N6,Vorrunde!Q6,Vorrunde!T6,Vorrunde!N22,Vorrunde!Q22,Vorrunde!T22,Vorrunde!N30,Vorrunde!Q30,Vorrunde!T30,Vorrunde!N46,Vorrunde!Q46,Vorrunde!T46)</f>
        <v>0</v>
      </c>
      <c r="I3" s="46" t="str">
        <f t="shared" si="1"/>
        <v>Quotient</v>
      </c>
      <c r="J3" s="43">
        <f t="shared" si="2"/>
        <v>1</v>
      </c>
      <c r="K3" s="67" t="str">
        <f t="shared" si="3"/>
        <v>Team 2, Gruppe A</v>
      </c>
      <c r="M3" s="8">
        <v>2</v>
      </c>
      <c r="N3" s="5" t="str">
        <f>IF(B9+B10+B11+B12+B13+B14=0,"Team 1, Gruppe B",VLOOKUP(1,J9:K14,2,FALSE))</f>
        <v>Team 1, Gruppe B</v>
      </c>
      <c r="O3" s="11" t="s">
        <v>35</v>
      </c>
    </row>
    <row r="4" spans="1:15" ht="12.75">
      <c r="A4" s="26" t="str">
        <f>Anmeldung!B30</f>
        <v>Team 3, Gruppe A</v>
      </c>
      <c r="B4" s="24">
        <f>SUM(Vorrunde!H50,Vorrunde!H34,Vorrunde!H10,Vorrunde!J42,Vorrunde!J22)</f>
        <v>0</v>
      </c>
      <c r="C4" s="31" t="s">
        <v>29</v>
      </c>
      <c r="D4" s="33">
        <f>SUM(Vorrunde!J50,Vorrunde!J34,Vorrunde!J10,Vorrunde!H42,Vorrunde!H22)</f>
        <v>0</v>
      </c>
      <c r="E4" s="49">
        <f t="shared" si="0"/>
        <v>0</v>
      </c>
      <c r="F4" s="31">
        <f>SUM(Vorrunde!L50,Vorrunde!O50,Vorrunde!R50,Vorrunde!L34,Vorrunde!O34,Vorrunde!R34,Vorrunde!L10,Vorrunde!O10,Vorrunde!R10,Vorrunde!N42,Vorrunde!Q42,Vorrunde!T42,Vorrunde!N22,Vorrunde!Q22,Vorrunde!T22)</f>
        <v>0</v>
      </c>
      <c r="G4" s="31" t="s">
        <v>29</v>
      </c>
      <c r="H4" s="31">
        <f>SUM(Vorrunde!N50,Vorrunde!Q50,Vorrunde!T50,Vorrunde!N34,Vorrunde!Q34,Vorrunde!T34,Vorrunde!N10,Vorrunde!Q10,Vorrunde!T10,Vorrunde!L42,Vorrunde!O42,Vorrunde!R42,Vorrunde!L22,Vorrunde!O22,Vorrunde!R22)</f>
        <v>0</v>
      </c>
      <c r="I4" s="46" t="str">
        <f t="shared" si="1"/>
        <v>Quotient</v>
      </c>
      <c r="J4" s="43">
        <f t="shared" si="2"/>
        <v>1</v>
      </c>
      <c r="K4" s="67" t="str">
        <f t="shared" si="3"/>
        <v>Team 3, Gruppe A</v>
      </c>
      <c r="M4" s="8">
        <v>3</v>
      </c>
      <c r="N4" s="5" t="str">
        <f>IF(B16+B17+B18+B19+B20+B21=0,"Team 1, Gruppe C",VLOOKUP(1,J16:K21,2,FALSE))</f>
        <v>Team 1, Gruppe C</v>
      </c>
      <c r="O4" s="11" t="s">
        <v>53</v>
      </c>
    </row>
    <row r="5" spans="1:15" ht="12.75">
      <c r="A5" s="26" t="str">
        <f>Anmeldung!B31</f>
        <v>Team 4, Gruppe A</v>
      </c>
      <c r="B5" s="24">
        <f>SUM(Vorrunde!J50,Vorrunde!J6,Vorrunde!J26,Vorrunde!H14,Vorrunde!H38)</f>
        <v>0</v>
      </c>
      <c r="C5" s="31" t="s">
        <v>29</v>
      </c>
      <c r="D5" s="33">
        <f>SUM(Vorrunde!H50,Vorrunde!H6,Vorrunde!H26,Vorrunde!J14,Vorrunde!J38)</f>
        <v>0</v>
      </c>
      <c r="E5" s="49">
        <f t="shared" si="0"/>
        <v>0</v>
      </c>
      <c r="F5" s="31">
        <f>SUM(Vorrunde!N50,Vorrunde!Q50,Vorrunde!T50,Vorrunde!N6,Vorrunde!Q6,Vorrunde!T6,Vorrunde!N26,Vorrunde!Q26,Vorrunde!T26,Vorrunde!L14,Vorrunde!O14,Vorrunde!R14,Vorrunde!L38,Vorrunde!O38,Vorrunde!R38)</f>
        <v>0</v>
      </c>
      <c r="G5" s="31" t="s">
        <v>29</v>
      </c>
      <c r="H5" s="31">
        <f>SUM(Vorrunde!L50,Vorrunde!O50,Vorrunde!R50,Vorrunde!L6,Vorrunde!O6,Vorrunde!R6,Vorrunde!L26,Vorrunde!O26,Vorrunde!R26,Vorrunde!N14,Vorrunde!Q14,Vorrunde!T14,Vorrunde!N38,Vorrunde!Q38,Vorrunde!T38)</f>
        <v>0</v>
      </c>
      <c r="I5" s="46" t="str">
        <f t="shared" si="1"/>
        <v>Quotient</v>
      </c>
      <c r="J5" s="43">
        <f t="shared" si="2"/>
        <v>1</v>
      </c>
      <c r="K5" s="68" t="str">
        <f t="shared" si="3"/>
        <v>Team 4, Gruppe A</v>
      </c>
      <c r="M5" s="8">
        <v>4</v>
      </c>
      <c r="N5" s="5" t="str">
        <f>IF(B23+B24+B25+B26+B27+B28=0,"Team 1, Gruppe D",VLOOKUP(1,J23:K28,2,FALSE))</f>
        <v>Team 1, Gruppe D</v>
      </c>
      <c r="O5" s="11" t="s">
        <v>54</v>
      </c>
    </row>
    <row r="6" spans="1:15" ht="12.75">
      <c r="A6" s="26" t="str">
        <f>Anmeldung!B32</f>
        <v>Team 5, Gruppe A</v>
      </c>
      <c r="B6" s="24">
        <f>SUM(Vorrunde!J10,Vorrunde!J18,Vorrunde!J30,Vorrunde!J38,Vorrunde!H58)</f>
        <v>0</v>
      </c>
      <c r="C6" s="31" t="s">
        <v>29</v>
      </c>
      <c r="D6" s="33">
        <f>SUM(Vorrunde!H10,Vorrunde!H18,Vorrunde!H30,Vorrunde!H38,Vorrunde!J58)</f>
        <v>0</v>
      </c>
      <c r="E6" s="49">
        <f t="shared" si="0"/>
        <v>0</v>
      </c>
      <c r="F6" s="31">
        <f>SUM(Vorrunde!N10,Vorrunde!Q10,Vorrunde!T10,Vorrunde!N18,Vorrunde!Q18,Vorrunde!T18,Vorrunde!N30,Vorrunde!Q30,Vorrunde!T30,Vorrunde!N38,Vorrunde!Q38,Vorrunde!T38,Vorrunde!L58,Vorrunde!O58,Vorrunde!R58)</f>
        <v>0</v>
      </c>
      <c r="G6" s="31" t="s">
        <v>29</v>
      </c>
      <c r="H6" s="31">
        <f>SUM(Vorrunde!L10,Vorrunde!O10,Vorrunde!R10,Vorrunde!L18,Vorrunde!O18,Vorrunde!R18,Vorrunde!L30,Vorrunde!O30,Vorrunde!R30,Vorrunde!L38,Vorrunde!O38,Vorrunde!R38,Vorrunde!N58,Vorrunde!Q58,Vorrunde!T58)</f>
        <v>0</v>
      </c>
      <c r="I6" s="46" t="str">
        <f t="shared" si="1"/>
        <v>Quotient</v>
      </c>
      <c r="J6" s="43">
        <f t="shared" si="2"/>
        <v>1</v>
      </c>
      <c r="K6" s="68" t="str">
        <f t="shared" si="3"/>
        <v>Team 5, Gruppe A</v>
      </c>
      <c r="M6" s="8">
        <v>5</v>
      </c>
      <c r="N6" s="5" t="str">
        <f>IF(B23+B24+B25+B26+B27+B28=0,"Team 2, Gruppe D",VLOOKUP(2,J23:K28,2,FALSE))</f>
        <v>Team 2, Gruppe D</v>
      </c>
      <c r="O6" s="11" t="s">
        <v>56</v>
      </c>
    </row>
    <row r="7" spans="1:15" ht="12.75">
      <c r="A7" s="28" t="str">
        <f>Anmeldung!B33</f>
        <v>Team 6, Gruppe A</v>
      </c>
      <c r="B7" s="25">
        <f>SUM(Vorrunde!J2,Vorrunde!J34,Vorrunde!J14,Vorrunde!J46,Vorrunde!J58)</f>
        <v>0</v>
      </c>
      <c r="C7" s="32" t="s">
        <v>29</v>
      </c>
      <c r="D7" s="34">
        <f>SUM(Vorrunde!H2,Vorrunde!H34,Vorrunde!H14,Vorrunde!H46,Vorrunde!H58)</f>
        <v>0</v>
      </c>
      <c r="E7" s="50">
        <f t="shared" si="0"/>
        <v>0</v>
      </c>
      <c r="F7" s="32">
        <f>SUM(Vorrunde!N2,Vorrunde!Q2,Vorrunde!T2,Vorrunde!N34,Vorrunde!Q34,Vorrunde!T34,Vorrunde!N14,Vorrunde!Q14,Vorrunde!T14,Vorrunde!N46,Vorrunde!Q46,Vorrunde!T46,Vorrunde!N58,Vorrunde!Q58,Vorrunde!T58)</f>
        <v>0</v>
      </c>
      <c r="G7" s="32" t="s">
        <v>29</v>
      </c>
      <c r="H7" s="32">
        <f>SUM(Vorrunde!L2,Vorrunde!O2,Vorrunde!R2,Vorrunde!L34,Vorrunde!O34,Vorrunde!R34,Vorrunde!L14,Vorrunde!O14,Vorrunde!R14,Vorrunde!L46,Vorrunde!O46,Vorrunde!R46,Vorrunde!L58,Vorrunde!O58,Vorrunde!R58)</f>
        <v>0</v>
      </c>
      <c r="I7" s="47" t="str">
        <f t="shared" si="1"/>
        <v>Quotient</v>
      </c>
      <c r="J7" s="44">
        <f t="shared" si="2"/>
        <v>1</v>
      </c>
      <c r="K7" s="67" t="str">
        <f t="shared" si="3"/>
        <v>Team 6, Gruppe A</v>
      </c>
      <c r="M7" s="8">
        <v>6</v>
      </c>
      <c r="N7" s="5" t="str">
        <f>IF(B16+B17+B18+B19+B20+B21=0,"Team 2, Gruppe C",VLOOKUP(2,J16:K21,2,FALSE))</f>
        <v>Team 2, Gruppe C</v>
      </c>
      <c r="O7" s="11" t="s">
        <v>55</v>
      </c>
    </row>
    <row r="8" spans="1:15" ht="12.75">
      <c r="A8" s="63" t="s">
        <v>24</v>
      </c>
      <c r="B8" s="24"/>
      <c r="C8" s="64"/>
      <c r="D8" s="65"/>
      <c r="E8" s="49"/>
      <c r="G8" s="64"/>
      <c r="I8" s="46"/>
      <c r="J8" s="42"/>
      <c r="K8" s="67"/>
      <c r="M8" s="8">
        <v>7</v>
      </c>
      <c r="N8" s="5" t="str">
        <f>IF(B9+B10+B11+B12+B13+B14=0,"Team 2, Gruppe B",VLOOKUP(2,J9:K14,2,FALSE))</f>
        <v>Team 2, Gruppe B</v>
      </c>
      <c r="O8" s="11" t="s">
        <v>36</v>
      </c>
    </row>
    <row r="9" spans="1:15" ht="12.75">
      <c r="A9" s="26" t="str">
        <f>Anmeldung!D28</f>
        <v>Team 1, Gruppe B</v>
      </c>
      <c r="B9" s="24">
        <f>SUM(Vorrunde!H55,Vorrunde!H43,Vorrunde!H27,Vorrunde!H19,Vorrunde!H3)</f>
        <v>0</v>
      </c>
      <c r="C9" s="31" t="s">
        <v>29</v>
      </c>
      <c r="D9" s="33">
        <f>SUM(Vorrunde!J55,Vorrunde!J43,Vorrunde!J27,Vorrunde!J19,Vorrunde!J3)</f>
        <v>0</v>
      </c>
      <c r="E9" s="49">
        <f aca="true" t="shared" si="4" ref="E9:E14">SUM(B9-D9)</f>
        <v>0</v>
      </c>
      <c r="F9" s="31">
        <f>SUM(Vorrunde!L55,Vorrunde!O55,Vorrunde!R55,Vorrunde!L43,Vorrunde!O43,Vorrunde!R43,Vorrunde!L27,Vorrunde!O27,Vorrunde!R27,Vorrunde!L19,Vorrunde!O19,Vorrunde!R19,Vorrunde!L3,Vorrunde!O3,Vorrunde!R3)</f>
        <v>0</v>
      </c>
      <c r="G9" s="31" t="s">
        <v>29</v>
      </c>
      <c r="H9" s="31">
        <f>SUM(Vorrunde!N55,Vorrunde!Q55,Vorrunde!T55,Vorrunde!N43,Vorrunde!Q43,Vorrunde!T43,Vorrunde!N27,Vorrunde!Q27,Vorrunde!T27,Vorrunde!N19,Vorrunde!Q19,Vorrunde!T19,Vorrunde!N3,Vorrunde!Q3,Vorrunde!T3)</f>
        <v>0</v>
      </c>
      <c r="I9" s="46" t="str">
        <f aca="true" t="shared" si="5" ref="I9:I14">IF((H9=0),"Quotient",F9/H9)</f>
        <v>Quotient</v>
      </c>
      <c r="J9" s="43">
        <f aca="true" t="shared" si="6" ref="J9:J14">RANK(B9,$B$9:$B$14)</f>
        <v>1</v>
      </c>
      <c r="K9" s="67" t="str">
        <f aca="true" t="shared" si="7" ref="K9:K14">A9</f>
        <v>Team 1, Gruppe B</v>
      </c>
      <c r="M9" s="8">
        <v>8</v>
      </c>
      <c r="N9" s="5" t="str">
        <f>IF(B2+B3+B4+B5+B6+B7=0,"Team 2, Gruppe A",VLOOKUP(2,J2:K7,2,FALSE))</f>
        <v>Team 2, Gruppe A</v>
      </c>
      <c r="O9" s="11" t="s">
        <v>37</v>
      </c>
    </row>
    <row r="10" spans="1:15" ht="12.75">
      <c r="A10" s="26" t="str">
        <f>Anmeldung!D29</f>
        <v>Team 2, Gruppe B</v>
      </c>
      <c r="B10" s="24">
        <f>SUM(Vorrunde!J55,Vorrunde!H7,Vorrunde!H23,Vorrunde!H31,Vorrunde!H47)</f>
        <v>0</v>
      </c>
      <c r="C10" s="31" t="s">
        <v>29</v>
      </c>
      <c r="D10" s="33">
        <f>SUM(Vorrunde!H55,Vorrunde!J7,Vorrunde!J23,Vorrunde!J31,Vorrunde!J47)</f>
        <v>0</v>
      </c>
      <c r="E10" s="49">
        <f t="shared" si="4"/>
        <v>0</v>
      </c>
      <c r="F10" s="31">
        <f>SUM(Vorrunde!N55,Vorrunde!Q55,Vorrunde!T55,Vorrunde!L7,Vorrunde!O7,Vorrunde!R7,Vorrunde!L23,Vorrunde!O23,Vorrunde!R23,Vorrunde!L31,Vorrunde!O31,Vorrunde!R31,Vorrunde!L47,Vorrunde!O47,Vorrunde!R47)</f>
        <v>0</v>
      </c>
      <c r="G10" s="31" t="s">
        <v>29</v>
      </c>
      <c r="H10" s="31">
        <f>SUM(Vorrunde!L55,Vorrunde!O55,Vorrunde!R55,Vorrunde!N7,Vorrunde!Q7,Vorrunde!T7,Vorrunde!N23,Vorrunde!Q23,Vorrunde!T23,Vorrunde!N31,Vorrunde!Q31,Vorrunde!T31,Vorrunde!N47,Vorrunde!Q47,Vorrunde!T47)</f>
        <v>0</v>
      </c>
      <c r="I10" s="46" t="str">
        <f t="shared" si="5"/>
        <v>Quotient</v>
      </c>
      <c r="J10" s="43">
        <f t="shared" si="6"/>
        <v>1</v>
      </c>
      <c r="K10" s="67" t="str">
        <f t="shared" si="7"/>
        <v>Team 2, Gruppe B</v>
      </c>
      <c r="M10" s="8">
        <v>9</v>
      </c>
      <c r="N10" s="5" t="str">
        <f>IF(B2+B3+B4+B5+B6+B7=0,"Team 3, Gruppe A",VLOOKUP(3,J2:K7,2,FALSE))</f>
        <v>Team 3, Gruppe A</v>
      </c>
      <c r="O10" s="11" t="s">
        <v>39</v>
      </c>
    </row>
    <row r="11" spans="1:15" ht="12.75">
      <c r="A11" s="26" t="str">
        <f>Anmeldung!D30</f>
        <v>Team 3, Gruppe B</v>
      </c>
      <c r="B11" s="24">
        <f>SUM(Vorrunde!H51,Vorrunde!H35,Vorrunde!H11,Vorrunde!J43,Vorrunde!J23)</f>
        <v>0</v>
      </c>
      <c r="C11" s="31" t="s">
        <v>29</v>
      </c>
      <c r="D11" s="33">
        <f>SUM(Vorrunde!J51,Vorrunde!J35,Vorrunde!J11,Vorrunde!H43,Vorrunde!H23)</f>
        <v>0</v>
      </c>
      <c r="E11" s="49">
        <f t="shared" si="4"/>
        <v>0</v>
      </c>
      <c r="F11" s="31">
        <f>SUM(Vorrunde!L51,Vorrunde!O51,Vorrunde!R51,Vorrunde!L35,Vorrunde!O35,Vorrunde!R35,Vorrunde!L11,Vorrunde!O11,Vorrunde!R11,Vorrunde!N43,Vorrunde!Q43,Vorrunde!T43,Vorrunde!N23,Vorrunde!Q23,Vorrunde!T23)</f>
        <v>0</v>
      </c>
      <c r="G11" s="31" t="s">
        <v>29</v>
      </c>
      <c r="H11" s="31">
        <f>SUM(Vorrunde!N51,Vorrunde!Q51,Vorrunde!T51,Vorrunde!N35,Vorrunde!Q35,Vorrunde!T35,Vorrunde!N11,Vorrunde!Q11,Vorrunde!T11,Vorrunde!L43,Vorrunde!O43,Vorrunde!R43,Vorrunde!L23,Vorrunde!O23,Vorrunde!R23)</f>
        <v>0</v>
      </c>
      <c r="I11" s="46" t="str">
        <f t="shared" si="5"/>
        <v>Quotient</v>
      </c>
      <c r="J11" s="43">
        <f t="shared" si="6"/>
        <v>1</v>
      </c>
      <c r="K11" s="68" t="str">
        <f t="shared" si="7"/>
        <v>Team 3, Gruppe B</v>
      </c>
      <c r="M11" s="8">
        <v>10</v>
      </c>
      <c r="N11" s="5" t="str">
        <f>IF(B9+B10+B11+B12+B13+B14=0,"Team 3, Gruppe B",VLOOKUP(3,J9:K14,2,FALSE))</f>
        <v>Team 3, Gruppe B</v>
      </c>
      <c r="O11" s="11" t="s">
        <v>40</v>
      </c>
    </row>
    <row r="12" spans="1:15" ht="12.75">
      <c r="A12" s="26" t="str">
        <f>Anmeldung!D31</f>
        <v>Team 4, Gruppe B</v>
      </c>
      <c r="B12" s="24">
        <f>SUM(Vorrunde!J51,Vorrunde!J7,Vorrunde!J27,Vorrunde!H15,Vorrunde!H39)</f>
        <v>0</v>
      </c>
      <c r="C12" s="31" t="s">
        <v>29</v>
      </c>
      <c r="D12" s="33">
        <f>SUM(Vorrunde!H51,Vorrunde!H7,Vorrunde!H27,Vorrunde!J15,Vorrunde!J39)</f>
        <v>0</v>
      </c>
      <c r="E12" s="49">
        <f t="shared" si="4"/>
        <v>0</v>
      </c>
      <c r="F12" s="31">
        <f>SUM(Vorrunde!N51,Vorrunde!Q51,Vorrunde!T51,Vorrunde!N7,Vorrunde!Q7,Vorrunde!T7,Vorrunde!N27,Vorrunde!Q27,Vorrunde!T27,Vorrunde!L15,Vorrunde!O15,Vorrunde!R15,Vorrunde!L39,Vorrunde!O39,Vorrunde!R39)</f>
        <v>0</v>
      </c>
      <c r="G12" s="31" t="s">
        <v>29</v>
      </c>
      <c r="H12" s="31">
        <f>SUM(Vorrunde!L51,Vorrunde!O51,Vorrunde!R51,Vorrunde!L7,Vorrunde!O7,Vorrunde!R7,Vorrunde!L27,Vorrunde!O27,Vorrunde!R27,Vorrunde!N15,Vorrunde!Q15,Vorrunde!T15,Vorrunde!N39,Vorrunde!Q39,Vorrunde!T39)</f>
        <v>0</v>
      </c>
      <c r="I12" s="46" t="str">
        <f t="shared" si="5"/>
        <v>Quotient</v>
      </c>
      <c r="J12" s="43">
        <f t="shared" si="6"/>
        <v>1</v>
      </c>
      <c r="K12" s="68" t="str">
        <f t="shared" si="7"/>
        <v>Team 4, Gruppe B</v>
      </c>
      <c r="M12" s="8">
        <v>11</v>
      </c>
      <c r="N12" s="5" t="str">
        <f>IF(B16+B17+B18+B19+B20+B21=0,"Team 3, Gruppe C",VLOOKUP(3,J16:K21,2,FALSE))</f>
        <v>Team 3, Gruppe C</v>
      </c>
      <c r="O12" s="11" t="s">
        <v>57</v>
      </c>
    </row>
    <row r="13" spans="1:15" ht="12.75">
      <c r="A13" s="26" t="str">
        <f>Anmeldung!D32</f>
        <v>Team 5, Gruppe B</v>
      </c>
      <c r="B13" s="24">
        <f>SUM(Vorrunde!J11,Vorrunde!J19,Vorrunde!J31,Vorrunde!J39,Vorrunde!H59)</f>
        <v>0</v>
      </c>
      <c r="C13" s="31" t="s">
        <v>29</v>
      </c>
      <c r="D13" s="33">
        <f>SUM(Vorrunde!H11,Vorrunde!H19,Vorrunde!H31,Vorrunde!H39,Vorrunde!J59)</f>
        <v>0</v>
      </c>
      <c r="E13" s="49">
        <f t="shared" si="4"/>
        <v>0</v>
      </c>
      <c r="F13" s="31">
        <f>SUM(Vorrunde!N11,Vorrunde!Q11,Vorrunde!T11,Vorrunde!N19,Vorrunde!Q19,Vorrunde!T19,Vorrunde!N31,Vorrunde!Q31,Vorrunde!T31,Vorrunde!N39,Vorrunde!Q39,Vorrunde!T39,Vorrunde!L59,Vorrunde!O59,Vorrunde!R59)</f>
        <v>0</v>
      </c>
      <c r="G13" s="31" t="s">
        <v>29</v>
      </c>
      <c r="H13" s="31">
        <f>SUM(Vorrunde!L11,Vorrunde!O11,Vorrunde!R11,Vorrunde!L19,Vorrunde!O19,Vorrunde!R19,Vorrunde!L31,Vorrunde!O31,Vorrunde!R31,Vorrunde!L39,Vorrunde!O39,Vorrunde!R39,Vorrunde!N59,Vorrunde!Q59,Vorrunde!T59)</f>
        <v>0</v>
      </c>
      <c r="I13" s="46" t="str">
        <f t="shared" si="5"/>
        <v>Quotient</v>
      </c>
      <c r="J13" s="43">
        <f t="shared" si="6"/>
        <v>1</v>
      </c>
      <c r="K13" s="66" t="str">
        <f t="shared" si="7"/>
        <v>Team 5, Gruppe B</v>
      </c>
      <c r="M13" s="8">
        <v>12</v>
      </c>
      <c r="N13" s="5" t="str">
        <f>IF(B23+B24+B25+B26+B27+B28=0,"Team 3, Gruppe D",VLOOKUP(3,J23:K28,2,FALSE))</f>
        <v>Team 3, Gruppe D</v>
      </c>
      <c r="O13" s="11" t="s">
        <v>58</v>
      </c>
    </row>
    <row r="14" spans="1:11" ht="12.75">
      <c r="A14" s="28" t="str">
        <f>Anmeldung!D33</f>
        <v>Team 6, Gruppe B</v>
      </c>
      <c r="B14" s="25">
        <f>SUM(Vorrunde!J3,Vorrunde!J35,Vorrunde!J15,Vorrunde!J47,Vorrunde!J59)</f>
        <v>0</v>
      </c>
      <c r="C14" s="32" t="s">
        <v>29</v>
      </c>
      <c r="D14" s="34">
        <f>SUM(Vorrunde!H3,Vorrunde!H35,Vorrunde!H15,Vorrunde!H47,Vorrunde!H59)</f>
        <v>0</v>
      </c>
      <c r="E14" s="50">
        <f t="shared" si="4"/>
        <v>0</v>
      </c>
      <c r="F14" s="32">
        <f>SUM(Vorrunde!N3,Vorrunde!Q3,Vorrunde!T3,Vorrunde!N35,Vorrunde!Q35,Vorrunde!T35,Vorrunde!N15,Vorrunde!Q15,Vorrunde!T15,Vorrunde!N47,Vorrunde!Q47,Vorrunde!T47,Vorrunde!N59,Vorrunde!Q59,Vorrunde!T59)</f>
        <v>0</v>
      </c>
      <c r="G14" s="32" t="s">
        <v>29</v>
      </c>
      <c r="H14" s="32">
        <f>SUM(Vorrunde!L3,Vorrunde!O3,Vorrunde!R3,Vorrunde!L35,Vorrunde!O35,Vorrunde!R35,Vorrunde!L15,Vorrunde!O15,Vorrunde!R15,Vorrunde!L47,Vorrunde!O47,Vorrunde!R47,Vorrunde!L59,Vorrunde!O59,Vorrunde!R59)</f>
        <v>0</v>
      </c>
      <c r="I14" s="47" t="str">
        <f t="shared" si="5"/>
        <v>Quotient</v>
      </c>
      <c r="J14" s="44">
        <f t="shared" si="6"/>
        <v>1</v>
      </c>
      <c r="K14" s="67" t="str">
        <f t="shared" si="7"/>
        <v>Team 6, Gruppe B</v>
      </c>
    </row>
    <row r="15" spans="1:11" ht="12.75">
      <c r="A15" s="27" t="s">
        <v>49</v>
      </c>
      <c r="B15" s="24"/>
      <c r="C15" s="64"/>
      <c r="D15" s="65"/>
      <c r="E15" s="49"/>
      <c r="G15" s="64"/>
      <c r="I15" s="46"/>
      <c r="J15" s="42"/>
      <c r="K15" s="67"/>
    </row>
    <row r="16" spans="1:14" ht="12.75">
      <c r="A16" s="26" t="str">
        <f>Anmeldung!G28</f>
        <v>Team 1, Gruppe C</v>
      </c>
      <c r="B16" s="24">
        <f>SUM(Vorrunde!H56,Vorrunde!H44,Vorrunde!H28,Vorrunde!H20,Vorrunde!H4)</f>
        <v>0</v>
      </c>
      <c r="C16" s="31" t="s">
        <v>29</v>
      </c>
      <c r="D16" s="33">
        <f>SUM(Vorrunde!J56,Vorrunde!J44,Vorrunde!J28,Vorrunde!J20,Vorrunde!J4)</f>
        <v>0</v>
      </c>
      <c r="E16" s="49">
        <f aca="true" t="shared" si="8" ref="E16:E21">SUM(B16-D16)</f>
        <v>0</v>
      </c>
      <c r="F16" s="31">
        <f>SUM(Vorrunde!L56,Vorrunde!O56,Vorrunde!R56,Vorrunde!L44,Vorrunde!O44,Vorrunde!R44,Vorrunde!L28,Vorrunde!O28,Vorrunde!R28,Vorrunde!L20,Vorrunde!O20,Vorrunde!R20,Vorrunde!L4,Vorrunde!O4,Vorrunde!R4)</f>
        <v>0</v>
      </c>
      <c r="G16" s="31" t="s">
        <v>29</v>
      </c>
      <c r="H16" s="31">
        <f>SUM(Vorrunde!N56,Vorrunde!Q56,Vorrunde!T56,Vorrunde!N44,Vorrunde!Q44,Vorrunde!T44,Vorrunde!N28,Vorrunde!Q28,Vorrunde!T28,Vorrunde!N20,Vorrunde!Q20,Vorrunde!T20,Vorrunde!N4,Vorrunde!Q4,Vorrunde!T4)</f>
        <v>0</v>
      </c>
      <c r="I16" s="46" t="str">
        <f aca="true" t="shared" si="9" ref="I16:I21">IF((H16=0),"Quotient",F16/H16)</f>
        <v>Quotient</v>
      </c>
      <c r="J16" s="43">
        <f aca="true" t="shared" si="10" ref="J16:J21">RANK(B16,$B$16:$B$21)</f>
        <v>1</v>
      </c>
      <c r="K16" s="67" t="str">
        <f aca="true" t="shared" si="11" ref="K16:K21">A16</f>
        <v>Team 1, Gruppe C</v>
      </c>
      <c r="N16" s="102" t="s">
        <v>63</v>
      </c>
    </row>
    <row r="17" spans="1:15" ht="12.75">
      <c r="A17" s="26" t="str">
        <f>Anmeldung!G29</f>
        <v>Team 2, Gruppe C</v>
      </c>
      <c r="B17" s="24">
        <f>SUM(Vorrunde!J56,Vorrunde!H8,Vorrunde!H24,Vorrunde!H32,Vorrunde!H48)</f>
        <v>0</v>
      </c>
      <c r="C17" s="31" t="s">
        <v>29</v>
      </c>
      <c r="D17" s="33">
        <f>SUM(Vorrunde!H56,Vorrunde!J8,Vorrunde!J24,Vorrunde!J32,Vorrunde!J48)</f>
        <v>0</v>
      </c>
      <c r="E17" s="49">
        <f t="shared" si="8"/>
        <v>0</v>
      </c>
      <c r="F17" s="31">
        <f>SUM(Vorrunde!N56,Vorrunde!Q56,Vorrunde!T56,Vorrunde!L8,Vorrunde!O8,Vorrunde!R8,Vorrunde!L24,Vorrunde!O24,Vorrunde!R24,Vorrunde!L32,Vorrunde!O32,Vorrunde!R32,Vorrunde!L48,Vorrunde!O48,Vorrunde!R48)</f>
        <v>0</v>
      </c>
      <c r="G17" s="31" t="s">
        <v>29</v>
      </c>
      <c r="H17" s="31">
        <f>SUM(Vorrunde!L56,Vorrunde!O56,Vorrunde!R56,Vorrunde!N8,Vorrunde!Q8,Vorrunde!T8,Vorrunde!N24,Vorrunde!Q24,Vorrunde!T24,Vorrunde!N32,Vorrunde!Q32,Vorrunde!T32,Vorrunde!N48,Vorrunde!Q48,Vorrunde!T48)</f>
        <v>0</v>
      </c>
      <c r="I17" s="46" t="str">
        <f t="shared" si="9"/>
        <v>Quotient</v>
      </c>
      <c r="J17" s="43">
        <f t="shared" si="10"/>
        <v>1</v>
      </c>
      <c r="K17" s="68" t="str">
        <f t="shared" si="11"/>
        <v>Team 2, Gruppe C</v>
      </c>
      <c r="M17" s="8">
        <v>13</v>
      </c>
      <c r="N17" s="5" t="str">
        <f>IF(B2+B3+B4+B5+B6+B7=0,"Team 4, Gruppe A",VLOOKUP(4,J2:K7,2,FALSE))</f>
        <v>Team 4, Gruppe A</v>
      </c>
      <c r="O17" s="11" t="s">
        <v>44</v>
      </c>
    </row>
    <row r="18" spans="1:15" ht="12.75">
      <c r="A18" s="26" t="str">
        <f>Anmeldung!G30</f>
        <v>Team 3, Gruppe C</v>
      </c>
      <c r="B18" s="24">
        <f>SUM(Vorrunde!H52,Vorrunde!H36,Vorrunde!H12,Vorrunde!J44,Vorrunde!J24)</f>
        <v>0</v>
      </c>
      <c r="C18" s="31" t="s">
        <v>29</v>
      </c>
      <c r="D18" s="33">
        <f>SUM(Vorrunde!J52,Vorrunde!J36,Vorrunde!J12,Vorrunde!H44,Vorrunde!H24)</f>
        <v>0</v>
      </c>
      <c r="E18" s="49">
        <f t="shared" si="8"/>
        <v>0</v>
      </c>
      <c r="F18" s="31">
        <f>SUM(Vorrunde!L52,Vorrunde!O52,Vorrunde!R52,Vorrunde!L36,Vorrunde!O36,Vorrunde!R36,Vorrunde!L12,Vorrunde!O12,Vorrunde!R12,Vorrunde!N44,Vorrunde!Q44,Vorrunde!T44,Vorrunde!N24,Vorrunde!Q24,Vorrunde!T24)</f>
        <v>0</v>
      </c>
      <c r="G18" s="31" t="s">
        <v>29</v>
      </c>
      <c r="H18" s="31">
        <f>SUM(Vorrunde!N52,Vorrunde!Q52,Vorrunde!T52,Vorrunde!N36,Vorrunde!Q36,Vorrunde!T36,Vorrunde!N12,Vorrunde!Q12,Vorrunde!T12,Vorrunde!L44,Vorrunde!O44,Vorrunde!R44,Vorrunde!L24,Vorrunde!O24,Vorrunde!R24)</f>
        <v>0</v>
      </c>
      <c r="I18" s="46" t="str">
        <f t="shared" si="9"/>
        <v>Quotient</v>
      </c>
      <c r="J18" s="43">
        <f t="shared" si="10"/>
        <v>1</v>
      </c>
      <c r="K18" s="68" t="str">
        <f t="shared" si="11"/>
        <v>Team 3, Gruppe C</v>
      </c>
      <c r="M18" s="8">
        <v>13</v>
      </c>
      <c r="N18" s="5" t="str">
        <f>IF(B9+B10+B11+B12+B13+B14=0,"Team 4, Gruppe B",VLOOKUP(4,J9:K14,2,FALSE))</f>
        <v>Team 4, Gruppe B</v>
      </c>
      <c r="O18" s="11" t="s">
        <v>43</v>
      </c>
    </row>
    <row r="19" spans="1:15" ht="12.75">
      <c r="A19" s="26" t="str">
        <f>Anmeldung!G31</f>
        <v>Team 4, Gruppe C</v>
      </c>
      <c r="B19" s="24">
        <f>SUM(Vorrunde!J52,Vorrunde!J8,Vorrunde!J28,Vorrunde!H16,Vorrunde!H40)</f>
        <v>0</v>
      </c>
      <c r="C19" s="31" t="s">
        <v>29</v>
      </c>
      <c r="D19" s="33">
        <f>SUM(Vorrunde!H52,Vorrunde!H8,Vorrunde!H28,Vorrunde!J16,Vorrunde!J40)</f>
        <v>0</v>
      </c>
      <c r="E19" s="49">
        <f t="shared" si="8"/>
        <v>0</v>
      </c>
      <c r="F19" s="31">
        <f>SUM(Vorrunde!N52,Vorrunde!Q52,Vorrunde!T52,Vorrunde!N8,Vorrunde!Q8,Vorrunde!T8,Vorrunde!N28,Vorrunde!Q28,Vorrunde!T28,Vorrunde!L16,Vorrunde!O16,Vorrunde!R16,Vorrunde!L40,Vorrunde!O40,Vorrunde!R40)</f>
        <v>0</v>
      </c>
      <c r="G19" s="31" t="s">
        <v>29</v>
      </c>
      <c r="H19" s="31">
        <f>SUM(Vorrunde!L52,Vorrunde!O52,Vorrunde!R52,Vorrunde!L8,Vorrunde!O8,Vorrunde!R8,Vorrunde!L28,Vorrunde!O28,Vorrunde!R28,Vorrunde!N16,Vorrunde!Q16,Vorrunde!T16,Vorrunde!N40,Vorrunde!Q40,Vorrunde!T40)</f>
        <v>0</v>
      </c>
      <c r="I19" s="46" t="str">
        <f t="shared" si="9"/>
        <v>Quotient</v>
      </c>
      <c r="J19" s="43">
        <f t="shared" si="10"/>
        <v>1</v>
      </c>
      <c r="K19" s="67" t="str">
        <f t="shared" si="11"/>
        <v>Team 4, Gruppe C</v>
      </c>
      <c r="M19" s="8">
        <v>13</v>
      </c>
      <c r="N19" s="5" t="str">
        <f>IF(B16+B17+B18+B19+B20+B21=0,"Team 4, Gruppe C",VLOOKUP(4,J16:K21,2,FALSE))</f>
        <v>Team 4, Gruppe C</v>
      </c>
      <c r="O19" s="11" t="s">
        <v>59</v>
      </c>
    </row>
    <row r="20" spans="1:15" ht="12.75">
      <c r="A20" s="26" t="str">
        <f>Anmeldung!G32</f>
        <v>Team 5, Gruppe C</v>
      </c>
      <c r="B20" s="24">
        <f>SUM(Vorrunde!J12,Vorrunde!J20,Vorrunde!J32,Vorrunde!J40,Vorrunde!H60)</f>
        <v>0</v>
      </c>
      <c r="C20" s="31" t="s">
        <v>29</v>
      </c>
      <c r="D20" s="33">
        <f>SUM(Vorrunde!H12,Vorrunde!H20,Vorrunde!H32,Vorrunde!H40,Vorrunde!J60)</f>
        <v>0</v>
      </c>
      <c r="E20" s="49">
        <f t="shared" si="8"/>
        <v>0</v>
      </c>
      <c r="F20" s="31">
        <f>SUM(Vorrunde!N12,Vorrunde!Q12,Vorrunde!T12,Vorrunde!N20,Vorrunde!Q20,Vorrunde!T20,Vorrunde!N32,Vorrunde!Q32,Vorrunde!T32,Vorrunde!N40,Vorrunde!Q40,Vorrunde!T40,Vorrunde!L60,Vorrunde!O60,Vorrunde!R60)</f>
        <v>0</v>
      </c>
      <c r="G20" s="31" t="s">
        <v>29</v>
      </c>
      <c r="H20" s="31">
        <f>SUM(Vorrunde!L12,Vorrunde!O12,Vorrunde!R12,Vorrunde!L20,Vorrunde!O20,Vorrunde!R20,Vorrunde!L32,Vorrunde!O32,Vorrunde!R32,Vorrunde!L40,Vorrunde!O40,Vorrunde!R40,Vorrunde!N60,Vorrunde!Q60,Vorrunde!T60)</f>
        <v>0</v>
      </c>
      <c r="I20" s="46" t="str">
        <f t="shared" si="9"/>
        <v>Quotient</v>
      </c>
      <c r="J20" s="43">
        <f t="shared" si="10"/>
        <v>1</v>
      </c>
      <c r="K20" s="67" t="str">
        <f t="shared" si="11"/>
        <v>Team 5, Gruppe C</v>
      </c>
      <c r="M20" s="8">
        <v>13</v>
      </c>
      <c r="N20" s="5" t="str">
        <f>IF(B23+B24+B25+B26+B27+B28=0,"Team 4, Gruppe D",VLOOKUP(4,J23:K28,2,FALSE))</f>
        <v>Team 4, Gruppe D</v>
      </c>
      <c r="O20" s="11" t="s">
        <v>60</v>
      </c>
    </row>
    <row r="21" spans="1:15" ht="12.75">
      <c r="A21" s="100" t="str">
        <f>Anmeldung!G33</f>
        <v>Team 6, Gruppe C</v>
      </c>
      <c r="B21" s="25">
        <f>SUM(Vorrunde!J4,Vorrunde!J36,Vorrunde!J16,Vorrunde!J48,Vorrunde!J60)</f>
        <v>0</v>
      </c>
      <c r="C21" s="32" t="s">
        <v>29</v>
      </c>
      <c r="D21" s="34">
        <f>SUM(Vorrunde!H4,Vorrunde!H36,Vorrunde!H16,Vorrunde!H48,Vorrunde!H60)</f>
        <v>0</v>
      </c>
      <c r="E21" s="50">
        <f t="shared" si="8"/>
        <v>0</v>
      </c>
      <c r="F21" s="32">
        <f>SUM(Vorrunde!N4,Vorrunde!Q4,Vorrunde!T4,Vorrunde!N36,Vorrunde!Q36,Vorrunde!T36,Vorrunde!N16,Vorrunde!Q16,Vorrunde!T16,Vorrunde!N48,Vorrunde!Q48,Vorrunde!T48,Vorrunde!N60,Vorrunde!Q60,Vorrunde!T60)</f>
        <v>0</v>
      </c>
      <c r="G21" s="32" t="s">
        <v>29</v>
      </c>
      <c r="H21" s="32">
        <f>SUM(Vorrunde!L4,Vorrunde!O4,Vorrunde!R4,Vorrunde!L36,Vorrunde!O36,Vorrunde!R36,Vorrunde!L16,Vorrunde!O16,Vorrunde!R16,Vorrunde!L48,Vorrunde!O48,Vorrunde!R48,Vorrunde!L60,Vorrunde!O60,Vorrunde!R60)</f>
        <v>0</v>
      </c>
      <c r="I21" s="47" t="str">
        <f t="shared" si="9"/>
        <v>Quotient</v>
      </c>
      <c r="J21" s="43">
        <f t="shared" si="10"/>
        <v>1</v>
      </c>
      <c r="K21" s="67" t="str">
        <f t="shared" si="11"/>
        <v>Team 6, Gruppe C</v>
      </c>
      <c r="M21" s="8">
        <v>17</v>
      </c>
      <c r="N21" s="5" t="str">
        <f>IF(B2+B3+B4+B5+B6+B7=0,"Team 5, Gruppe A",VLOOKUP(5,J2:K7,2,FALSE))</f>
        <v>Team 5, Gruppe A</v>
      </c>
      <c r="O21" s="11" t="s">
        <v>46</v>
      </c>
    </row>
    <row r="22" spans="1:15" ht="12.75">
      <c r="A22" s="63" t="s">
        <v>50</v>
      </c>
      <c r="B22" s="24"/>
      <c r="C22" s="64"/>
      <c r="D22" s="65"/>
      <c r="E22" s="49"/>
      <c r="G22" s="64"/>
      <c r="I22" s="46"/>
      <c r="J22" s="42"/>
      <c r="K22" s="67"/>
      <c r="M22" s="8">
        <v>17</v>
      </c>
      <c r="N22" s="5" t="str">
        <f>IF(B9+B10+B11+B12+B13+B14=0,"Team 5, Gruppe B",VLOOKUP(5,J9:K14,2,FALSE))</f>
        <v>Team 5, Gruppe B</v>
      </c>
      <c r="O22" s="11" t="s">
        <v>47</v>
      </c>
    </row>
    <row r="23" spans="1:15" ht="12.75">
      <c r="A23" s="26" t="str">
        <f>Anmeldung!J28</f>
        <v>Team 1, Gruppe D</v>
      </c>
      <c r="B23" s="24">
        <f>SUM(Vorrunde!H57,Vorrunde!H45,Vorrunde!H29,Vorrunde!H21,Vorrunde!H5)</f>
        <v>0</v>
      </c>
      <c r="C23" s="31" t="s">
        <v>29</v>
      </c>
      <c r="D23" s="33">
        <f>SUM(Vorrunde!J57,Vorrunde!J45,Vorrunde!J29,Vorrunde!J21,Vorrunde!J5)</f>
        <v>0</v>
      </c>
      <c r="E23" s="49">
        <f aca="true" t="shared" si="12" ref="E23:E28">SUM(B23-D23)</f>
        <v>0</v>
      </c>
      <c r="F23" s="31">
        <f>SUM(Vorrunde!L57,Vorrunde!O57,Vorrunde!R57,Vorrunde!L45,Vorrunde!O45,Vorrunde!R45,Vorrunde!L29,Vorrunde!O29,Vorrunde!R29,Vorrunde!L21,Vorrunde!O21,Vorrunde!R21,Vorrunde!L5,Vorrunde!O5,Vorrunde!R5)</f>
        <v>0</v>
      </c>
      <c r="G23" s="31" t="s">
        <v>29</v>
      </c>
      <c r="H23" s="31">
        <f>SUM(Vorrunde!N57,Vorrunde!Q57,Vorrunde!T57,Vorrunde!N45,Vorrunde!Q45,Vorrunde!T45,Vorrunde!N29,Vorrunde!Q29,Vorrunde!T29,Vorrunde!N21,Vorrunde!Q21,Vorrunde!T21,Vorrunde!N5,Vorrunde!Q5,Vorrunde!T5)</f>
        <v>0</v>
      </c>
      <c r="I23" s="46" t="str">
        <f aca="true" t="shared" si="13" ref="I23:I28">IF((H23=0),"Quotient",F23/H23)</f>
        <v>Quotient</v>
      </c>
      <c r="J23" s="43">
        <f aca="true" t="shared" si="14" ref="J23:J28">RANK(B23,$B$23:$B$28)</f>
        <v>1</v>
      </c>
      <c r="K23" s="68" t="str">
        <f aca="true" t="shared" si="15" ref="K23:K28">A23</f>
        <v>Team 1, Gruppe D</v>
      </c>
      <c r="M23" s="8">
        <v>17</v>
      </c>
      <c r="N23" s="5" t="str">
        <f>IF(B16+B17+B18+B19+B20+B21=0,"Team 5, Gruppe C",VLOOKUP(5,J16:K21,2,FALSE))</f>
        <v>Team 5, Gruppe C</v>
      </c>
      <c r="O23" s="11" t="s">
        <v>61</v>
      </c>
    </row>
    <row r="24" spans="1:15" ht="12.75">
      <c r="A24" s="26" t="str">
        <f>Anmeldung!J29</f>
        <v>Team 2, Gruppe D</v>
      </c>
      <c r="B24" s="24">
        <f>SUM(Vorrunde!J57,Vorrunde!H9,Vorrunde!H25,Vorrunde!H33,Vorrunde!H49)</f>
        <v>0</v>
      </c>
      <c r="C24" s="31" t="s">
        <v>29</v>
      </c>
      <c r="D24" s="33">
        <f>SUM(Vorrunde!H57,Vorrunde!J9,Vorrunde!J25,Vorrunde!J33,Vorrunde!J49)</f>
        <v>0</v>
      </c>
      <c r="E24" s="49">
        <f t="shared" si="12"/>
        <v>0</v>
      </c>
      <c r="F24" s="31">
        <f>SUM(Vorrunde!N57,Vorrunde!Q57,Vorrunde!T57,Vorrunde!L9,Vorrunde!O9,Vorrunde!R9,Vorrunde!L25,Vorrunde!O25,Vorrunde!R25,Vorrunde!L33,Vorrunde!O33,Vorrunde!R33,Vorrunde!L49,Vorrunde!O49,Vorrunde!R49)</f>
        <v>0</v>
      </c>
      <c r="G24" s="31" t="s">
        <v>29</v>
      </c>
      <c r="H24" s="31">
        <f>SUM(Vorrunde!L57,Vorrunde!O57,Vorrunde!R57,Vorrunde!N9,Vorrunde!Q9,Vorrunde!T9,Vorrunde!N25,Vorrunde!Q25,Vorrunde!T25,Vorrunde!N33,Vorrunde!Q33,Vorrunde!T33,Vorrunde!N49,Vorrunde!Q49,Vorrunde!T49)</f>
        <v>0</v>
      </c>
      <c r="I24" s="46" t="str">
        <f t="shared" si="13"/>
        <v>Quotient</v>
      </c>
      <c r="J24" s="43">
        <f t="shared" si="14"/>
        <v>1</v>
      </c>
      <c r="K24" s="68" t="str">
        <f t="shared" si="15"/>
        <v>Team 2, Gruppe D</v>
      </c>
      <c r="M24" s="8">
        <v>17</v>
      </c>
      <c r="N24" s="5" t="str">
        <f>IF(B23+B24+B25+B26+B27+B28=0,"Team 5, Gruppe D",VLOOKUP(5,J23:K28,2,FALSE))</f>
        <v>Team 5, Gruppe D</v>
      </c>
      <c r="O24" s="101" t="s">
        <v>62</v>
      </c>
    </row>
    <row r="25" spans="1:15" ht="12.75">
      <c r="A25" s="26" t="str">
        <f>Anmeldung!J30</f>
        <v>Team 3, Gruppe D</v>
      </c>
      <c r="B25" s="24">
        <f>SUM(Vorrunde!H53,Vorrunde!H37,Vorrunde!H13,Vorrunde!J45,Vorrunde!J25)</f>
        <v>0</v>
      </c>
      <c r="C25" s="31" t="s">
        <v>29</v>
      </c>
      <c r="D25" s="33">
        <f>SUM(Vorrunde!J53,Vorrunde!J37,Vorrunde!J13,Vorrunde!H45,Vorrunde!H25)</f>
        <v>0</v>
      </c>
      <c r="E25" s="49">
        <f t="shared" si="12"/>
        <v>0</v>
      </c>
      <c r="F25" s="31">
        <f>SUM(Vorrunde!L53,Vorrunde!O53,Vorrunde!R53,Vorrunde!L37,Vorrunde!O37,Vorrunde!R37,Vorrunde!L13,Vorrunde!O13,Vorrunde!R13,Vorrunde!N45,Vorrunde!Q45,Vorrunde!T45,Vorrunde!N25,Vorrunde!Q25,Vorrunde!T25)</f>
        <v>0</v>
      </c>
      <c r="G25" s="31" t="s">
        <v>29</v>
      </c>
      <c r="H25" s="31">
        <f>SUM(Vorrunde!N53,Vorrunde!Q53,Vorrunde!T53,Vorrunde!N37,Vorrunde!Q37,Vorrunde!T37,Vorrunde!N13,Vorrunde!Q13,Vorrunde!T13,Vorrunde!L45,Vorrunde!O45,Vorrunde!R45,Vorrunde!L25,Vorrunde!O25,Vorrunde!R25)</f>
        <v>0</v>
      </c>
      <c r="I25" s="46" t="str">
        <f t="shared" si="13"/>
        <v>Quotient</v>
      </c>
      <c r="J25" s="43">
        <f t="shared" si="14"/>
        <v>1</v>
      </c>
      <c r="K25" s="54" t="str">
        <f t="shared" si="15"/>
        <v>Team 3, Gruppe D</v>
      </c>
      <c r="M25" s="8">
        <v>21</v>
      </c>
      <c r="N25" s="5" t="str">
        <f>IF(B2+B3+B4+B5+B6+B7=0,"Team 6, Gruppe A",VLOOKUP(6,J2:K7,2,FALSE))</f>
        <v>Team 6, Gruppe A</v>
      </c>
      <c r="O25" s="11" t="s">
        <v>70</v>
      </c>
    </row>
    <row r="26" spans="1:15" ht="12.75">
      <c r="A26" s="26" t="str">
        <f>Anmeldung!J31</f>
        <v>Team 4, Gruppe D</v>
      </c>
      <c r="B26" s="24">
        <f>SUM(Vorrunde!J53,Vorrunde!J9,Vorrunde!J29,Vorrunde!H17,Vorrunde!H41)</f>
        <v>0</v>
      </c>
      <c r="C26" s="31" t="s">
        <v>29</v>
      </c>
      <c r="D26" s="33">
        <f>SUM(Vorrunde!H53,Vorrunde!H9,Vorrunde!H29,Vorrunde!J17,Vorrunde!J41)</f>
        <v>0</v>
      </c>
      <c r="E26" s="49">
        <f t="shared" si="12"/>
        <v>0</v>
      </c>
      <c r="F26" s="31">
        <f>SUM(Vorrunde!N53,Vorrunde!Q53,Vorrunde!T53,Vorrunde!N9,Vorrunde!Q9,Vorrunde!T9,Vorrunde!N29,Vorrunde!Q29,Vorrunde!T29,Vorrunde!L17,Vorrunde!O17,Vorrunde!R17,Vorrunde!L41,Vorrunde!O41,Vorrunde!R41)</f>
        <v>0</v>
      </c>
      <c r="G26" s="31" t="s">
        <v>29</v>
      </c>
      <c r="H26" s="31">
        <f>SUM(Vorrunde!L53,Vorrunde!O53,Vorrunde!R53,Vorrunde!L9,Vorrunde!O9,Vorrunde!R9,Vorrunde!L29,Vorrunde!O29,Vorrunde!R29,Vorrunde!N17,Vorrunde!Q17,Vorrunde!T17,Vorrunde!N41,Vorrunde!Q41,Vorrunde!T41)</f>
        <v>0</v>
      </c>
      <c r="I26" s="46" t="str">
        <f t="shared" si="13"/>
        <v>Quotient</v>
      </c>
      <c r="J26" s="43">
        <f t="shared" si="14"/>
        <v>1</v>
      </c>
      <c r="K26" s="53" t="str">
        <f t="shared" si="15"/>
        <v>Team 4, Gruppe D</v>
      </c>
      <c r="M26" s="8">
        <v>21</v>
      </c>
      <c r="N26" s="5" t="str">
        <f>IF(B9+B10+B11+B12+B13+B14=0,"Team 6, Gruppe B",VLOOKUP(6,J9:K14,2,FALSE))</f>
        <v>Team 6, Gruppe B</v>
      </c>
      <c r="O26" s="11" t="s">
        <v>71</v>
      </c>
    </row>
    <row r="27" spans="1:15" ht="12.75">
      <c r="A27" s="26" t="str">
        <f>Anmeldung!J32</f>
        <v>Team 5, Gruppe D</v>
      </c>
      <c r="B27" s="24">
        <f>SUM(Vorrunde!J13,Vorrunde!J21,Vorrunde!J33,Vorrunde!J41,Vorrunde!H61)</f>
        <v>0</v>
      </c>
      <c r="C27" s="31" t="s">
        <v>29</v>
      </c>
      <c r="D27" s="33">
        <f>SUM(Vorrunde!H13,Vorrunde!H21,Vorrunde!H33,Vorrunde!H41,Vorrunde!J61)</f>
        <v>0</v>
      </c>
      <c r="E27" s="49">
        <f t="shared" si="12"/>
        <v>0</v>
      </c>
      <c r="F27" s="31">
        <f>SUM(Vorrunde!N13,Vorrunde!Q13,Vorrunde!T13,Vorrunde!N21,Vorrunde!Q21,Vorrunde!T21,Vorrunde!N33,Vorrunde!Q33,Vorrunde!T33,Vorrunde!N41,Vorrunde!Q41,Vorrunde!T41,Vorrunde!L61,Vorrunde!O61,Vorrunde!R61)</f>
        <v>0</v>
      </c>
      <c r="G27" s="31" t="s">
        <v>29</v>
      </c>
      <c r="H27" s="31">
        <f>SUM(Vorrunde!L13,Vorrunde!O13,Vorrunde!R13,Vorrunde!L21,Vorrunde!O21,Vorrunde!R21,Vorrunde!L33,Vorrunde!O33,Vorrunde!R33,Vorrunde!L41,Vorrunde!O41,Vorrunde!R41,Vorrunde!N61,Vorrunde!Q61,Vorrunde!T61)</f>
        <v>0</v>
      </c>
      <c r="I27" s="46" t="str">
        <f t="shared" si="13"/>
        <v>Quotient</v>
      </c>
      <c r="J27" s="43">
        <f t="shared" si="14"/>
        <v>1</v>
      </c>
      <c r="K27" s="54" t="str">
        <f t="shared" si="15"/>
        <v>Team 5, Gruppe D</v>
      </c>
      <c r="M27" s="8">
        <v>21</v>
      </c>
      <c r="N27" s="5" t="str">
        <f>IF(B16+B17+B18+B19+B20+B21=0,"Team 6, Gruppe C",VLOOKUP(6,J16:K21,2,FALSE))</f>
        <v>Team 6, Gruppe C</v>
      </c>
      <c r="O27" s="11" t="s">
        <v>72</v>
      </c>
    </row>
    <row r="28" spans="1:15" ht="12.75">
      <c r="A28" s="100" t="str">
        <f>Anmeldung!J33</f>
        <v>Team 6, Gruppe D</v>
      </c>
      <c r="B28" s="25">
        <f>SUM(Vorrunde!J5,Vorrunde!J37,Vorrunde!J17,Vorrunde!J49,Vorrunde!J61)</f>
        <v>0</v>
      </c>
      <c r="C28" s="32" t="s">
        <v>29</v>
      </c>
      <c r="D28" s="34">
        <f>SUM(Vorrunde!H5,Vorrunde!H37,Vorrunde!H17,Vorrunde!H49,Vorrunde!H61)</f>
        <v>0</v>
      </c>
      <c r="E28" s="50">
        <f t="shared" si="12"/>
        <v>0</v>
      </c>
      <c r="F28" s="32">
        <f>SUM(Vorrunde!N5,Vorrunde!Q5,Vorrunde!T5,Vorrunde!N37,Vorrunde!Q37,Vorrunde!T37,Vorrunde!N17,Vorrunde!Q17,Vorrunde!T17,Vorrunde!N49,Vorrunde!Q49,Vorrunde!T49,Vorrunde!N61,Vorrunde!Q61,Vorrunde!T61)</f>
        <v>0</v>
      </c>
      <c r="G28" s="32" t="s">
        <v>29</v>
      </c>
      <c r="H28" s="32">
        <f>SUM(Vorrunde!L5,Vorrunde!O5,Vorrunde!R5,Vorrunde!L37,Vorrunde!O37,Vorrunde!R37,Vorrunde!L17,Vorrunde!O17,Vorrunde!R17,Vorrunde!L49,Vorrunde!O49,Vorrunde!R49,Vorrunde!L61,Vorrunde!O61,Vorrunde!R61)</f>
        <v>0</v>
      </c>
      <c r="I28" s="47" t="str">
        <f t="shared" si="13"/>
        <v>Quotient</v>
      </c>
      <c r="J28" s="43">
        <f t="shared" si="14"/>
        <v>1</v>
      </c>
      <c r="K28" s="54" t="str">
        <f t="shared" si="15"/>
        <v>Team 6, Gruppe D</v>
      </c>
      <c r="M28" s="8">
        <v>21</v>
      </c>
      <c r="N28" s="5" t="str">
        <f>IF(B23+B24+B25+B26+B27+B28=0,"Team 6, Gruppe D",VLOOKUP(6,J23:K28,2,FALSE))</f>
        <v>Team 6, Gruppe D</v>
      </c>
      <c r="O28" s="101" t="s">
        <v>73</v>
      </c>
    </row>
    <row r="29" spans="13:15" ht="12.75">
      <c r="M29" s="21"/>
      <c r="N29" s="61"/>
      <c r="O29" s="61"/>
    </row>
    <row r="30" spans="1:15" ht="12.75">
      <c r="A30" s="182" t="s">
        <v>77</v>
      </c>
      <c r="B30" s="183"/>
      <c r="C30" s="181"/>
      <c r="D30" s="181"/>
      <c r="E30" s="181"/>
      <c r="F30" s="180"/>
      <c r="G30" s="180"/>
      <c r="H30" s="185"/>
      <c r="I30" s="182" t="s">
        <v>80</v>
      </c>
      <c r="J30" s="184"/>
      <c r="K30" s="181"/>
      <c r="L30" s="181"/>
      <c r="M30" s="181"/>
      <c r="N30" s="181"/>
      <c r="O30" s="181"/>
    </row>
    <row r="31" spans="1:15" ht="12.75">
      <c r="A31" s="184" t="s">
        <v>78</v>
      </c>
      <c r="B31" s="183"/>
      <c r="C31" s="181"/>
      <c r="D31" s="181"/>
      <c r="E31" s="181"/>
      <c r="F31" s="180"/>
      <c r="G31" s="180"/>
      <c r="H31" s="185"/>
      <c r="I31" s="184" t="s">
        <v>78</v>
      </c>
      <c r="J31" s="184"/>
      <c r="K31" s="181"/>
      <c r="L31" s="181"/>
      <c r="M31" s="181"/>
      <c r="N31" s="181"/>
      <c r="O31" s="181"/>
    </row>
    <row r="32" spans="1:15" ht="12.75">
      <c r="A32" s="184"/>
      <c r="B32" s="183"/>
      <c r="C32" s="181"/>
      <c r="D32" s="181"/>
      <c r="E32" s="181"/>
      <c r="F32" s="180"/>
      <c r="G32" s="180"/>
      <c r="H32" s="185"/>
      <c r="I32" s="184"/>
      <c r="J32" s="184"/>
      <c r="K32" s="181"/>
      <c r="L32" s="181"/>
      <c r="M32" s="181"/>
      <c r="N32" s="181"/>
      <c r="O32" s="181"/>
    </row>
    <row r="33" spans="1:15" ht="12.75">
      <c r="A33" s="182" t="s">
        <v>79</v>
      </c>
      <c r="B33" s="183"/>
      <c r="C33" s="181"/>
      <c r="D33" s="181"/>
      <c r="E33" s="181"/>
      <c r="F33" s="180"/>
      <c r="G33" s="180"/>
      <c r="H33" s="185"/>
      <c r="I33" s="184" t="s">
        <v>74</v>
      </c>
      <c r="J33" s="184"/>
      <c r="K33" s="181"/>
      <c r="L33" s="181"/>
      <c r="M33" s="181"/>
      <c r="N33" s="181"/>
      <c r="O33" s="181"/>
    </row>
    <row r="34" spans="1:15" ht="12.75">
      <c r="A34" s="184"/>
      <c r="B34" s="183"/>
      <c r="C34" s="181"/>
      <c r="D34" s="181"/>
      <c r="E34" s="181"/>
      <c r="F34" s="180"/>
      <c r="G34" s="180"/>
      <c r="H34" s="185"/>
      <c r="I34" s="184" t="s">
        <v>75</v>
      </c>
      <c r="J34" s="184"/>
      <c r="K34" s="181"/>
      <c r="L34" s="181"/>
      <c r="M34" s="181"/>
      <c r="N34" s="181"/>
      <c r="O34" s="181"/>
    </row>
    <row r="35" spans="1:15" ht="12.75">
      <c r="A35" s="184"/>
      <c r="B35" s="183"/>
      <c r="C35" s="181"/>
      <c r="D35" s="181"/>
      <c r="E35" s="181"/>
      <c r="F35" s="180"/>
      <c r="G35" s="180"/>
      <c r="I35" s="184" t="s">
        <v>76</v>
      </c>
      <c r="J35" s="184"/>
      <c r="K35" s="181"/>
      <c r="L35" s="181"/>
      <c r="M35" s="181"/>
      <c r="N35" s="181"/>
      <c r="O35" s="181"/>
    </row>
  </sheetData>
  <sheetProtection password="CCA4" sheet="1" formatCells="0" formatColumns="0" formatRows="0" selectLockedCells="1"/>
  <mergeCells count="2">
    <mergeCell ref="F1:H1"/>
    <mergeCell ref="B1:D1"/>
  </mergeCells>
  <printOptions horizontalCentered="1" verticalCentered="1"/>
  <pageMargins left="0.1968503937007874" right="0.1968503937007874" top="0.984251968503937" bottom="0.1968503937007874" header="0.5118110236220472" footer="0.5118110236220472"/>
  <pageSetup horizontalDpi="600" verticalDpi="600" orientation="portrait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 thickBot="1">
      <c r="A1" s="144" t="s">
        <v>8</v>
      </c>
      <c r="B1" s="145" t="s">
        <v>9</v>
      </c>
      <c r="C1" s="145" t="s">
        <v>10</v>
      </c>
      <c r="D1" s="140" t="s">
        <v>38</v>
      </c>
      <c r="E1" s="146" t="s">
        <v>11</v>
      </c>
      <c r="F1" s="146" t="s">
        <v>12</v>
      </c>
      <c r="G1" s="146" t="s">
        <v>13</v>
      </c>
      <c r="H1" s="147" t="s">
        <v>14</v>
      </c>
      <c r="I1" s="147"/>
      <c r="J1" s="147"/>
      <c r="K1" s="148" t="s">
        <v>15</v>
      </c>
      <c r="L1" s="147" t="s">
        <v>21</v>
      </c>
      <c r="M1" s="147"/>
      <c r="N1" s="147"/>
      <c r="O1" s="147" t="s">
        <v>22</v>
      </c>
      <c r="P1" s="147"/>
      <c r="Q1" s="147"/>
      <c r="R1" s="147" t="s">
        <v>69</v>
      </c>
      <c r="S1" s="147"/>
      <c r="T1" s="149"/>
    </row>
    <row r="2" spans="1:20" ht="18" customHeight="1">
      <c r="A2" s="141">
        <v>61</v>
      </c>
      <c r="B2" s="22" t="s">
        <v>16</v>
      </c>
      <c r="C2" s="78"/>
      <c r="D2" s="150"/>
      <c r="E2" s="22" t="str">
        <f>RankSeed!N6</f>
        <v>Team 2, Gruppe D</v>
      </c>
      <c r="F2" s="22" t="s">
        <v>12</v>
      </c>
      <c r="G2" s="22" t="str">
        <f>RankSeed!N10</f>
        <v>Team 3, Gruppe A</v>
      </c>
      <c r="H2" s="151">
        <f>IF(L2=N2,"",SUM(IF(L2&gt;N2,1,0),IF(O2&gt;Q2,1,0),IF(R2&lt;=T2,0,1)))</f>
      </c>
      <c r="I2" s="152" t="s">
        <v>17</v>
      </c>
      <c r="J2" s="152">
        <f>IF(L2=N2,"",SUM(IF(L2&lt;N2,1,0),IF(O2&lt;Q2,1,0),IF(R2&gt;=T2,0,1)))</f>
      </c>
      <c r="K2" s="153"/>
      <c r="L2" s="78"/>
      <c r="M2" s="152" t="s">
        <v>17</v>
      </c>
      <c r="N2" s="78"/>
      <c r="O2" s="78"/>
      <c r="P2" s="152" t="s">
        <v>17</v>
      </c>
      <c r="Q2" s="78"/>
      <c r="R2" s="78"/>
      <c r="S2" s="151" t="s">
        <v>17</v>
      </c>
      <c r="T2" s="78"/>
    </row>
    <row r="3" spans="1:20" ht="18" customHeight="1">
      <c r="A3" s="88">
        <f aca="true" t="shared" si="0" ref="A3:A13">SUM(A2,1)</f>
        <v>62</v>
      </c>
      <c r="B3" s="10" t="s">
        <v>16</v>
      </c>
      <c r="C3" s="85"/>
      <c r="D3" s="86"/>
      <c r="E3" s="10" t="str">
        <f>RankSeed!N7</f>
        <v>Team 2, Gruppe C</v>
      </c>
      <c r="F3" s="10" t="s">
        <v>12</v>
      </c>
      <c r="G3" s="10" t="str">
        <f>RankSeed!N11</f>
        <v>Team 3, Gruppe B</v>
      </c>
      <c r="H3" s="154">
        <f aca="true" t="shared" si="1" ref="H3:H13">IF(L3=N3,"",SUM(IF(L3&gt;N3,1,0),IF(O3&gt;Q3,1,0),IF(R3&lt;=T3,0,1)))</f>
      </c>
      <c r="I3" s="155" t="s">
        <v>17</v>
      </c>
      <c r="J3" s="155">
        <f aca="true" t="shared" si="2" ref="J3:J13">IF(L3=N3,"",SUM(IF(L3&lt;N3,1,0),IF(O3&lt;Q3,1,0),IF(R3&gt;=T3,0,1)))</f>
      </c>
      <c r="K3" s="156"/>
      <c r="L3" s="85"/>
      <c r="M3" s="155" t="s">
        <v>17</v>
      </c>
      <c r="N3" s="85"/>
      <c r="O3" s="85"/>
      <c r="P3" s="155" t="s">
        <v>17</v>
      </c>
      <c r="Q3" s="85"/>
      <c r="R3" s="85"/>
      <c r="S3" s="154" t="s">
        <v>17</v>
      </c>
      <c r="T3" s="85"/>
    </row>
    <row r="4" spans="1:20" ht="18" customHeight="1">
      <c r="A4" s="88">
        <f t="shared" si="0"/>
        <v>63</v>
      </c>
      <c r="B4" s="10" t="s">
        <v>16</v>
      </c>
      <c r="C4" s="85"/>
      <c r="D4" s="86"/>
      <c r="E4" s="10" t="str">
        <f>RankSeed!N8</f>
        <v>Team 2, Gruppe B</v>
      </c>
      <c r="F4" s="10" t="s">
        <v>12</v>
      </c>
      <c r="G4" s="10" t="str">
        <f>RankSeed!N12</f>
        <v>Team 3, Gruppe C</v>
      </c>
      <c r="H4" s="154">
        <f t="shared" si="1"/>
      </c>
      <c r="I4" s="155" t="s">
        <v>17</v>
      </c>
      <c r="J4" s="155">
        <f t="shared" si="2"/>
      </c>
      <c r="K4" s="156"/>
      <c r="L4" s="85"/>
      <c r="M4" s="155" t="s">
        <v>17</v>
      </c>
      <c r="N4" s="85"/>
      <c r="O4" s="85"/>
      <c r="P4" s="155" t="s">
        <v>17</v>
      </c>
      <c r="Q4" s="85"/>
      <c r="R4" s="85"/>
      <c r="S4" s="154" t="s">
        <v>17</v>
      </c>
      <c r="T4" s="85"/>
    </row>
    <row r="5" spans="1:20" ht="18" customHeight="1" thickBot="1">
      <c r="A5" s="80">
        <f t="shared" si="0"/>
        <v>64</v>
      </c>
      <c r="B5" s="81" t="s">
        <v>16</v>
      </c>
      <c r="C5" s="82"/>
      <c r="D5" s="83"/>
      <c r="E5" s="81" t="str">
        <f>RankSeed!N9</f>
        <v>Team 2, Gruppe A</v>
      </c>
      <c r="F5" s="81" t="s">
        <v>12</v>
      </c>
      <c r="G5" s="81" t="str">
        <f>RankSeed!N13</f>
        <v>Team 3, Gruppe D</v>
      </c>
      <c r="H5" s="157">
        <f t="shared" si="1"/>
      </c>
      <c r="I5" s="158" t="s">
        <v>17</v>
      </c>
      <c r="J5" s="158">
        <f t="shared" si="2"/>
      </c>
      <c r="K5" s="159"/>
      <c r="L5" s="82"/>
      <c r="M5" s="158" t="s">
        <v>17</v>
      </c>
      <c r="N5" s="82"/>
      <c r="O5" s="82"/>
      <c r="P5" s="158" t="s">
        <v>17</v>
      </c>
      <c r="Q5" s="82"/>
      <c r="R5" s="82"/>
      <c r="S5" s="157" t="s">
        <v>17</v>
      </c>
      <c r="T5" s="82"/>
    </row>
    <row r="6" spans="1:20" ht="18" customHeight="1">
      <c r="A6" s="141">
        <f>SUM(A5,1)</f>
        <v>65</v>
      </c>
      <c r="B6" s="22" t="s">
        <v>68</v>
      </c>
      <c r="C6" s="78"/>
      <c r="D6" s="142"/>
      <c r="E6" s="22" t="str">
        <f>RankSeed!N4</f>
        <v>Team 1, Gruppe C</v>
      </c>
      <c r="F6" s="22" t="s">
        <v>12</v>
      </c>
      <c r="G6" s="22" t="str">
        <f>IF($H$2=$J$2,CONCATENATE("Winner Match #",$A$2),IF($H$2&gt;$J$2,$E$2,$G$2))</f>
        <v>Winner Match #61</v>
      </c>
      <c r="H6" s="151">
        <f>IF(L6=N6,"",SUM(IF(L6&gt;N6,1,0),IF(O6&gt;Q6,1,0),IF(R6&lt;=T6,0,1)))</f>
      </c>
      <c r="I6" s="152" t="s">
        <v>17</v>
      </c>
      <c r="J6" s="152">
        <f>IF(L6=N6,"",SUM(IF(L6&lt;N6,1,0),IF(O6&lt;Q6,1,0),IF(R6&gt;=T6,0,1)))</f>
      </c>
      <c r="K6" s="153"/>
      <c r="L6" s="78"/>
      <c r="M6" s="152" t="s">
        <v>17</v>
      </c>
      <c r="N6" s="78"/>
      <c r="O6" s="78"/>
      <c r="P6" s="152" t="s">
        <v>17</v>
      </c>
      <c r="Q6" s="78"/>
      <c r="R6" s="78"/>
      <c r="S6" s="151" t="s">
        <v>17</v>
      </c>
      <c r="T6" s="78"/>
    </row>
    <row r="7" spans="1:20" ht="18" customHeight="1">
      <c r="A7" s="88">
        <f>SUM(A6,1)</f>
        <v>66</v>
      </c>
      <c r="B7" s="10" t="s">
        <v>68</v>
      </c>
      <c r="C7" s="85"/>
      <c r="D7" s="86"/>
      <c r="E7" s="10" t="str">
        <f>RankSeed!N5</f>
        <v>Team 1, Gruppe D</v>
      </c>
      <c r="F7" s="10" t="s">
        <v>12</v>
      </c>
      <c r="G7" s="10" t="str">
        <f>IF($H$3=$J$3,CONCATENATE("Winner Match #",$A$3),IF($H$3&gt;$J$3,$E$3,$G$3))</f>
        <v>Winner Match #62</v>
      </c>
      <c r="H7" s="154">
        <f>IF(L7=N7,"",SUM(IF(L7&gt;N7,1,0),IF(O7&gt;Q7,1,0),IF(R7&lt;=T7,0,1)))</f>
      </c>
      <c r="I7" s="155" t="s">
        <v>17</v>
      </c>
      <c r="J7" s="155">
        <f>IF(L7=N7,"",SUM(IF(L7&lt;N7,1,0),IF(O7&lt;Q7,1,0),IF(R7&gt;=T7,0,1)))</f>
      </c>
      <c r="K7" s="156"/>
      <c r="L7" s="85"/>
      <c r="M7" s="155" t="s">
        <v>17</v>
      </c>
      <c r="N7" s="85"/>
      <c r="O7" s="85"/>
      <c r="P7" s="155" t="s">
        <v>17</v>
      </c>
      <c r="Q7" s="85"/>
      <c r="R7" s="85"/>
      <c r="S7" s="154" t="s">
        <v>17</v>
      </c>
      <c r="T7" s="85"/>
    </row>
    <row r="8" spans="1:20" ht="18" customHeight="1">
      <c r="A8" s="88">
        <f t="shared" si="0"/>
        <v>67</v>
      </c>
      <c r="B8" s="10" t="s">
        <v>68</v>
      </c>
      <c r="C8" s="85"/>
      <c r="D8" s="86"/>
      <c r="E8" s="10" t="str">
        <f>RankSeed!N2</f>
        <v>Team 1, Gruppe A</v>
      </c>
      <c r="F8" s="10" t="s">
        <v>12</v>
      </c>
      <c r="G8" s="10" t="str">
        <f>IF($H$4=$J$4,CONCATENATE("Winner Match #",$A$4),IF($H$4&gt;$J$4,$E$4,$G$4))</f>
        <v>Winner Match #63</v>
      </c>
      <c r="H8" s="154">
        <f>IF(L8=N8,"",SUM(IF(L8&gt;N8,1,0),IF(O8&gt;Q8,1,0),IF(R8&lt;=T8,0,1)))</f>
      </c>
      <c r="I8" s="155" t="s">
        <v>17</v>
      </c>
      <c r="J8" s="155">
        <f>IF(L8=N8,"",SUM(IF(L8&lt;N8,1,0),IF(O8&lt;Q8,1,0),IF(R8&gt;=T8,0,1)))</f>
      </c>
      <c r="K8" s="156"/>
      <c r="L8" s="85"/>
      <c r="M8" s="155" t="s">
        <v>17</v>
      </c>
      <c r="N8" s="85"/>
      <c r="O8" s="85"/>
      <c r="P8" s="155" t="s">
        <v>17</v>
      </c>
      <c r="Q8" s="85"/>
      <c r="R8" s="85"/>
      <c r="S8" s="154" t="s">
        <v>17</v>
      </c>
      <c r="T8" s="85"/>
    </row>
    <row r="9" spans="1:20" ht="18" customHeight="1" thickBot="1">
      <c r="A9" s="80">
        <f>SUM(A8,1)</f>
        <v>68</v>
      </c>
      <c r="B9" s="81" t="s">
        <v>68</v>
      </c>
      <c r="C9" s="82"/>
      <c r="D9" s="83"/>
      <c r="E9" s="81" t="str">
        <f>RankSeed!N3</f>
        <v>Team 1, Gruppe B</v>
      </c>
      <c r="F9" s="81" t="s">
        <v>12</v>
      </c>
      <c r="G9" s="81" t="str">
        <f>IF($H$5=$J$5,CONCATENATE("Winner Match #",$A$5),IF($H$5&gt;$J$5,$E$5,$G$5))</f>
        <v>Winner Match #64</v>
      </c>
      <c r="H9" s="157">
        <f>IF(L9=N9,"",SUM(IF(L9&gt;N9,1,0),IF(O9&gt;Q9,1,0),IF(R9&lt;=T9,0,1)))</f>
      </c>
      <c r="I9" s="158" t="s">
        <v>17</v>
      </c>
      <c r="J9" s="158">
        <f>IF(L9=N9,"",SUM(IF(L9&lt;N9,1,0),IF(O9&lt;Q9,1,0),IF(R9&gt;=T9,0,1)))</f>
      </c>
      <c r="K9" s="159"/>
      <c r="L9" s="82"/>
      <c r="M9" s="158" t="s">
        <v>17</v>
      </c>
      <c r="N9" s="82"/>
      <c r="O9" s="82"/>
      <c r="P9" s="158" t="s">
        <v>17</v>
      </c>
      <c r="Q9" s="82"/>
      <c r="R9" s="82"/>
      <c r="S9" s="157" t="s">
        <v>17</v>
      </c>
      <c r="T9" s="82"/>
    </row>
    <row r="10" spans="1:20" ht="18" customHeight="1">
      <c r="A10" s="141">
        <f t="shared" si="0"/>
        <v>69</v>
      </c>
      <c r="B10" s="22" t="s">
        <v>64</v>
      </c>
      <c r="C10" s="78"/>
      <c r="D10" s="142"/>
      <c r="E10" s="22" t="str">
        <f>IF($H$7=$J$7,CONCATENATE("Winner Match #",$A$7),IF($H$7&gt;$J$7,$E$7,$G$7))</f>
        <v>Winner Match #66</v>
      </c>
      <c r="F10" s="22" t="s">
        <v>12</v>
      </c>
      <c r="G10" s="22" t="str">
        <f>IF($H$8=$J$8,CONCATENATE("Winner Match #",$A$8),IF($H$8&gt;$J$8,$E$8,$G$8))</f>
        <v>Winner Match #67</v>
      </c>
      <c r="H10" s="151">
        <f t="shared" si="1"/>
      </c>
      <c r="I10" s="152" t="s">
        <v>17</v>
      </c>
      <c r="J10" s="152">
        <f t="shared" si="2"/>
      </c>
      <c r="K10" s="153"/>
      <c r="L10" s="78"/>
      <c r="M10" s="152" t="s">
        <v>17</v>
      </c>
      <c r="N10" s="78"/>
      <c r="O10" s="78"/>
      <c r="P10" s="152" t="s">
        <v>17</v>
      </c>
      <c r="Q10" s="78"/>
      <c r="R10" s="78"/>
      <c r="S10" s="151" t="s">
        <v>17</v>
      </c>
      <c r="T10" s="78"/>
    </row>
    <row r="11" spans="1:20" ht="18" customHeight="1" thickBot="1">
      <c r="A11" s="80">
        <f t="shared" si="0"/>
        <v>70</v>
      </c>
      <c r="B11" s="81" t="s">
        <v>64</v>
      </c>
      <c r="C11" s="82"/>
      <c r="D11" s="83"/>
      <c r="E11" s="81" t="str">
        <f>IF($H$6=$J$6,CONCATENATE("Winner Match #",$A$6),IF($H$6&gt;$J$6,$E$6,$G$6))</f>
        <v>Winner Match #65</v>
      </c>
      <c r="F11" s="81" t="s">
        <v>12</v>
      </c>
      <c r="G11" s="81" t="str">
        <f>IF($H$9=$J$9,CONCATENATE("Winner Match #",$A$9),IF($H$9&gt;$J$9,$E$9,$G$9))</f>
        <v>Winner Match #68</v>
      </c>
      <c r="H11" s="157">
        <f t="shared" si="1"/>
      </c>
      <c r="I11" s="158" t="s">
        <v>17</v>
      </c>
      <c r="J11" s="158">
        <f t="shared" si="2"/>
      </c>
      <c r="K11" s="159"/>
      <c r="L11" s="82"/>
      <c r="M11" s="158" t="s">
        <v>17</v>
      </c>
      <c r="N11" s="82"/>
      <c r="O11" s="82"/>
      <c r="P11" s="158" t="s">
        <v>17</v>
      </c>
      <c r="Q11" s="82"/>
      <c r="R11" s="82"/>
      <c r="S11" s="157" t="s">
        <v>17</v>
      </c>
      <c r="T11" s="82"/>
    </row>
    <row r="12" spans="1:20" ht="18" customHeight="1">
      <c r="A12" s="141">
        <f t="shared" si="0"/>
        <v>71</v>
      </c>
      <c r="B12" s="143" t="s">
        <v>18</v>
      </c>
      <c r="C12" s="78"/>
      <c r="D12" s="142"/>
      <c r="E12" s="22" t="str">
        <f>IF($H$10=$J$10,CONCATENATE("Loser Match #",$A$10),IF($H$10&lt;$J$10,$E$10,$G$10))</f>
        <v>Loser Match #69</v>
      </c>
      <c r="F12" s="22" t="s">
        <v>12</v>
      </c>
      <c r="G12" s="22" t="str">
        <f>IF($H$11=$J$11,CONCATENATE("Loser Match #",$A$11),IF($H$11&lt;$J$11,$E$11,$G$11))</f>
        <v>Loser Match #70</v>
      </c>
      <c r="H12" s="151">
        <f t="shared" si="1"/>
      </c>
      <c r="I12" s="152" t="s">
        <v>17</v>
      </c>
      <c r="J12" s="152">
        <f t="shared" si="2"/>
      </c>
      <c r="K12" s="153"/>
      <c r="L12" s="78"/>
      <c r="M12" s="152" t="s">
        <v>17</v>
      </c>
      <c r="N12" s="78"/>
      <c r="O12" s="78"/>
      <c r="P12" s="152" t="s">
        <v>17</v>
      </c>
      <c r="Q12" s="78"/>
      <c r="R12" s="78"/>
      <c r="S12" s="151" t="s">
        <v>17</v>
      </c>
      <c r="T12" s="78"/>
    </row>
    <row r="13" spans="1:20" ht="18" customHeight="1" thickBot="1">
      <c r="A13" s="80">
        <f t="shared" si="0"/>
        <v>72</v>
      </c>
      <c r="B13" s="81" t="s">
        <v>19</v>
      </c>
      <c r="C13" s="82"/>
      <c r="D13" s="83"/>
      <c r="E13" s="81" t="str">
        <f>IF($H$10=$J$10,CONCATENATE("Winner Match #",$A$10),IF($H$10&gt;$J$10,$E$10,$G$10))</f>
        <v>Winner Match #69</v>
      </c>
      <c r="F13" s="81" t="s">
        <v>12</v>
      </c>
      <c r="G13" s="81" t="str">
        <f>IF($H$11=$J$11,CONCATENATE("Winner Match #",$A$11),IF($H$11&gt;$J$11,$E$11,$G$11))</f>
        <v>Winner Match #70</v>
      </c>
      <c r="H13" s="157">
        <f t="shared" si="1"/>
      </c>
      <c r="I13" s="158" t="s">
        <v>17</v>
      </c>
      <c r="J13" s="158">
        <f t="shared" si="2"/>
      </c>
      <c r="K13" s="159"/>
      <c r="L13" s="82"/>
      <c r="M13" s="158" t="s">
        <v>17</v>
      </c>
      <c r="N13" s="82"/>
      <c r="O13" s="82"/>
      <c r="P13" s="158" t="s">
        <v>17</v>
      </c>
      <c r="Q13" s="82"/>
      <c r="R13" s="82"/>
      <c r="S13" s="157" t="s">
        <v>17</v>
      </c>
      <c r="T13" s="82"/>
    </row>
    <row r="14" ht="11.25" customHeight="1"/>
  </sheetData>
  <sheetProtection password="CCA4" sheet="1"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95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2" width="18.7109375" style="104" customWidth="1"/>
    <col min="3" max="3" width="17.421875" style="104" customWidth="1"/>
    <col min="4" max="5" width="1.8515625" style="104" customWidth="1"/>
    <col min="6" max="6" width="18.7109375" style="104" customWidth="1"/>
    <col min="7" max="7" width="2.7109375" style="104" customWidth="1"/>
    <col min="8" max="8" width="17.8515625" style="104" customWidth="1"/>
    <col min="9" max="9" width="18.7109375" style="104" customWidth="1"/>
    <col min="10" max="16384" width="9.140625" style="104" customWidth="1"/>
  </cols>
  <sheetData>
    <row r="1" spans="2:13" ht="12" customHeight="1">
      <c r="B1" s="103" t="str">
        <f>CONCATENATE(Resultate!$E$6," ")</f>
        <v>Team 1, Gruppe C </v>
      </c>
      <c r="C1"/>
      <c r="D1"/>
      <c r="E1"/>
      <c r="F1"/>
      <c r="G1"/>
      <c r="H1"/>
      <c r="J1"/>
      <c r="K1" s="105"/>
      <c r="L1" s="105"/>
      <c r="M1" s="105"/>
    </row>
    <row r="2" spans="2:13" ht="12" customHeight="1">
      <c r="B2" s="106"/>
      <c r="C2"/>
      <c r="D2"/>
      <c r="E2"/>
      <c r="F2"/>
      <c r="G2"/>
      <c r="H2"/>
      <c r="I2" s="107"/>
      <c r="J2" s="107"/>
      <c r="K2"/>
      <c r="L2" s="105"/>
      <c r="M2" s="105"/>
    </row>
    <row r="3" spans="1:13" ht="12" customHeight="1">
      <c r="A3" s="103" t="str">
        <f>CONCATENATE(Resultate!$E$2," ")</f>
        <v>Team 2, Gruppe D </v>
      </c>
      <c r="B3" s="108" t="str">
        <f>CONCATENATE("",Resultate!$A$6,"")</f>
        <v>65</v>
      </c>
      <c r="C3" s="119" t="str">
        <f>CONCATENATE(Resultate!$E$11," ")</f>
        <v>Winner Match #65 </v>
      </c>
      <c r="D3" s="169"/>
      <c r="E3" s="110"/>
      <c r="G3" s="110"/>
      <c r="H3"/>
      <c r="I3" s="107"/>
      <c r="J3" s="107"/>
      <c r="K3"/>
      <c r="L3" s="105"/>
      <c r="M3" s="105"/>
    </row>
    <row r="4" spans="1:13" ht="12" customHeight="1">
      <c r="A4" s="106"/>
      <c r="B4" s="111" t="str">
        <f>CONCATENATE("(",Resultate!$H$6," : ",Resultate!$J$6,")")</f>
        <v>( : )</v>
      </c>
      <c r="C4" s="110"/>
      <c r="D4" s="112"/>
      <c r="E4" s="110"/>
      <c r="G4" s="110"/>
      <c r="H4" s="113"/>
      <c r="I4" s="107"/>
      <c r="J4" s="107"/>
      <c r="K4"/>
      <c r="L4" s="105"/>
      <c r="M4" s="105"/>
    </row>
    <row r="5" spans="1:13" ht="12" customHeight="1">
      <c r="A5" s="108" t="str">
        <f>CONCATENATE("",Resultate!$A$2,"")</f>
        <v>61</v>
      </c>
      <c r="B5" s="116" t="str">
        <f>CONCATENATE(Resultate!$G$6," ")</f>
        <v>Winner Match #61 </v>
      </c>
      <c r="C5" s="118"/>
      <c r="D5" s="117"/>
      <c r="E5" s="118"/>
      <c r="F5" s="130" t="str">
        <f>CONCATENATE(Resultate!$E$12," ")</f>
        <v>Loser Match #69 </v>
      </c>
      <c r="G5" s="118"/>
      <c r="H5" s="113"/>
      <c r="I5" s="107"/>
      <c r="J5" s="107"/>
      <c r="K5" s="105"/>
      <c r="L5" s="105"/>
      <c r="M5" s="105"/>
    </row>
    <row r="6" spans="1:13" ht="12" customHeight="1">
      <c r="A6" s="111" t="str">
        <f>CONCATENATE("(",Resultate!$H$2," : ",Resultate!$J$2,")")</f>
        <v>( : )</v>
      </c>
      <c r="B6" s="19"/>
      <c r="C6" s="118"/>
      <c r="D6" s="167"/>
      <c r="E6" s="139"/>
      <c r="F6" s="131"/>
      <c r="G6" s="118"/>
      <c r="H6" s="113"/>
      <c r="I6" s="107"/>
      <c r="J6" s="107"/>
      <c r="K6"/>
      <c r="L6" s="105"/>
      <c r="M6" s="105"/>
    </row>
    <row r="7" spans="1:13" ht="12" customHeight="1">
      <c r="A7" s="116" t="str">
        <f>CONCATENATE(Resultate!$G$2," ")</f>
        <v>Team 3, Gruppe A </v>
      </c>
      <c r="B7" s="113"/>
      <c r="C7" s="164"/>
      <c r="D7" s="167"/>
      <c r="E7" s="139"/>
      <c r="F7" s="167"/>
      <c r="G7" s="164"/>
      <c r="I7" s="107"/>
      <c r="J7" s="122"/>
      <c r="K7"/>
      <c r="L7" s="105"/>
      <c r="M7" s="105"/>
    </row>
    <row r="8" spans="1:13" ht="12" customHeight="1">
      <c r="A8" s="19"/>
      <c r="B8" s="113"/>
      <c r="C8" s="123"/>
      <c r="D8" s="111"/>
      <c r="E8" s="123"/>
      <c r="F8" s="132" t="s">
        <v>66</v>
      </c>
      <c r="G8" s="123"/>
      <c r="I8" s="115"/>
      <c r="J8" s="122"/>
      <c r="K8" s="105"/>
      <c r="L8" s="105"/>
      <c r="M8" s="105"/>
    </row>
    <row r="9" spans="1:13" ht="12" customHeight="1">
      <c r="A9" s="113"/>
      <c r="B9" s="103" t="str">
        <f>CONCATENATE(Resultate!$E$7," ")</f>
        <v>Team 1, Gruppe D </v>
      </c>
      <c r="C9" s="118"/>
      <c r="D9" s="117"/>
      <c r="E9" s="118"/>
      <c r="F9" s="108" t="str">
        <f>CONCATENATE("",Resultate!$A$12,"")</f>
        <v>71</v>
      </c>
      <c r="G9" s="118"/>
      <c r="I9" s="124"/>
      <c r="J9" s="122"/>
      <c r="K9" s="105"/>
      <c r="L9" s="105"/>
      <c r="M9" s="105"/>
    </row>
    <row r="10" spans="1:13" ht="12" customHeight="1">
      <c r="A10" s="113"/>
      <c r="B10" s="117"/>
      <c r="C10" s="118"/>
      <c r="D10" s="117"/>
      <c r="E10" s="118"/>
      <c r="F10" s="133" t="str">
        <f>CONCATENATE("(",Resultate!$H$12," : ",Resultate!$J$12,")")</f>
        <v>( : )</v>
      </c>
      <c r="G10" s="118"/>
      <c r="I10" s="120"/>
      <c r="J10" s="122"/>
      <c r="K10" s="105"/>
      <c r="L10" s="105"/>
      <c r="M10" s="105"/>
    </row>
    <row r="11" spans="1:13" ht="12" customHeight="1">
      <c r="A11" s="103" t="str">
        <f>CONCATENATE(Resultate!$E$3," ")</f>
        <v>Team 2, Gruppe C </v>
      </c>
      <c r="B11" s="108" t="str">
        <f>CONCATENATE("",Resultate!$A$7,"")</f>
        <v>66</v>
      </c>
      <c r="C11" s="109" t="str">
        <f>CONCATENATE(Resultate!$E$10," ")</f>
        <v>Winner Match #66 </v>
      </c>
      <c r="D11" s="171"/>
      <c r="E11" s="126"/>
      <c r="F11" s="167"/>
      <c r="G11" s="126"/>
      <c r="I11" s="125"/>
      <c r="J11" s="122"/>
      <c r="K11"/>
      <c r="L11" s="105"/>
      <c r="M11" s="105"/>
    </row>
    <row r="12" spans="1:13" ht="12" customHeight="1">
      <c r="A12" s="117"/>
      <c r="B12" s="111" t="str">
        <f>CONCATENATE("(",Resultate!$H$7," : ",Resultate!$J$7,")")</f>
        <v>( : )</v>
      </c>
      <c r="C12" s="165"/>
      <c r="D12" s="167"/>
      <c r="E12" s="139"/>
      <c r="F12" s="167"/>
      <c r="G12" s="110"/>
      <c r="I12" s="115"/>
      <c r="J12" s="122"/>
      <c r="K12"/>
      <c r="L12" s="105"/>
      <c r="M12" s="105"/>
    </row>
    <row r="13" spans="1:10" s="129" customFormat="1" ht="12" customHeight="1">
      <c r="A13" s="108" t="str">
        <f>CONCATENATE("",Resultate!$A$3,"")</f>
        <v>62</v>
      </c>
      <c r="B13" s="103" t="str">
        <f>CONCATENATE(Resultate!$G$7," ")</f>
        <v>Winner Match #62 </v>
      </c>
      <c r="C13" s="166"/>
      <c r="D13" s="166"/>
      <c r="E13" s="110"/>
      <c r="F13" s="134" t="str">
        <f>CONCATENATE(Resultate!$G$12," ")</f>
        <v>Loser Match #70 </v>
      </c>
      <c r="G13" s="174"/>
      <c r="I13" s="128"/>
      <c r="J13" s="125"/>
    </row>
    <row r="14" spans="1:13" ht="12" customHeight="1">
      <c r="A14" s="111" t="str">
        <f>CONCATENATE("(",Resultate!$H$3," : ",Resultate!$J$3,")")</f>
        <v>( : )</v>
      </c>
      <c r="B14"/>
      <c r="C14" s="117"/>
      <c r="D14" s="117"/>
      <c r="E14" s="118"/>
      <c r="G14" s="19"/>
      <c r="I14" s="121"/>
      <c r="J14" s="122"/>
      <c r="K14" s="105"/>
      <c r="L14" s="105"/>
      <c r="M14" s="105"/>
    </row>
    <row r="15" spans="1:13" ht="12" customHeight="1">
      <c r="A15" s="116" t="str">
        <f>CONCATENATE(Resultate!$G$3," ")</f>
        <v>Team 3, Gruppe B </v>
      </c>
      <c r="B15" s="110"/>
      <c r="C15" s="117"/>
      <c r="D15" s="117"/>
      <c r="E15" s="118"/>
      <c r="G15" s="118"/>
      <c r="I15" s="128"/>
      <c r="J15" s="122"/>
      <c r="K15" s="105"/>
      <c r="L15" s="105"/>
      <c r="M15" s="105"/>
    </row>
    <row r="16" spans="1:13" ht="12" customHeight="1">
      <c r="A16"/>
      <c r="B16"/>
      <c r="C16" s="167"/>
      <c r="D16" s="167"/>
      <c r="E16" s="139"/>
      <c r="F16" s="164"/>
      <c r="G16" s="118"/>
      <c r="I16" s="128"/>
      <c r="J16" s="122"/>
      <c r="K16" s="105"/>
      <c r="L16" s="105"/>
      <c r="M16" s="105"/>
    </row>
    <row r="17" spans="1:13" ht="12" customHeight="1">
      <c r="A17" s="110"/>
      <c r="B17" s="113"/>
      <c r="C17" s="108" t="str">
        <f>CONCATENATE("",Resultate!$A$10,"")</f>
        <v>69</v>
      </c>
      <c r="D17" s="167"/>
      <c r="E17" s="139"/>
      <c r="F17" s="110"/>
      <c r="G17" s="19"/>
      <c r="I17" s="125"/>
      <c r="J17" s="122"/>
      <c r="K17" s="105"/>
      <c r="L17" s="105"/>
      <c r="M17" s="105"/>
    </row>
    <row r="18" spans="1:13" ht="12" customHeight="1">
      <c r="A18"/>
      <c r="B18"/>
      <c r="C18" s="111" t="str">
        <f>CONCATENATE("(",Resultate!$H$10," : ",Resultate!$J$10,")")</f>
        <v>( : )</v>
      </c>
      <c r="D18" s="117"/>
      <c r="E18" s="118"/>
      <c r="F18" s="118"/>
      <c r="G18" s="118"/>
      <c r="I18" s="125"/>
      <c r="J18" s="122"/>
      <c r="K18" s="105"/>
      <c r="L18" s="105"/>
      <c r="M18" s="105"/>
    </row>
    <row r="19" spans="1:13" ht="12" customHeight="1">
      <c r="A19" s="113"/>
      <c r="B19"/>
      <c r="C19" s="117"/>
      <c r="D19" s="117"/>
      <c r="E19" s="118"/>
      <c r="F19" s="118"/>
      <c r="G19" s="118"/>
      <c r="I19" s="128"/>
      <c r="J19" s="122"/>
      <c r="K19" s="105"/>
      <c r="L19" s="105"/>
      <c r="M19" s="105"/>
    </row>
    <row r="20" spans="1:10" ht="12" customHeight="1">
      <c r="A20"/>
      <c r="B20"/>
      <c r="C20" s="167"/>
      <c r="D20" s="167"/>
      <c r="E20" s="139"/>
      <c r="F20" s="118"/>
      <c r="G20" s="19"/>
      <c r="I20" s="125"/>
      <c r="J20" s="114"/>
    </row>
    <row r="21" spans="1:10" s="129" customFormat="1" ht="12" customHeight="1">
      <c r="A21"/>
      <c r="B21" s="103" t="str">
        <f>CONCATENATE(Resultate!$E$8," ")</f>
        <v>Team 1, Gruppe A </v>
      </c>
      <c r="C21" s="168"/>
      <c r="D21" s="175"/>
      <c r="E21" s="169"/>
      <c r="F21" s="130" t="str">
        <f>CONCATENATE(Resultate!$E$13," ")</f>
        <v>Winner Match #69 </v>
      </c>
      <c r="G21" s="174"/>
      <c r="I21" s="128"/>
      <c r="J21" s="125"/>
    </row>
    <row r="22" spans="1:10" ht="12" customHeight="1">
      <c r="A22"/>
      <c r="B22" s="117"/>
      <c r="C22" s="106"/>
      <c r="D22" s="106"/>
      <c r="E22" s="19"/>
      <c r="F22" s="131"/>
      <c r="G22" s="19"/>
      <c r="I22" s="125"/>
      <c r="J22" s="114"/>
    </row>
    <row r="23" spans="1:10" ht="12" customHeight="1">
      <c r="A23" s="103" t="str">
        <f>CONCATENATE(Resultate!$E$4," ")</f>
        <v>Team 2, Gruppe B </v>
      </c>
      <c r="B23" s="108" t="str">
        <f>CONCATENATE("",Resultate!$A$8,"")</f>
        <v>67</v>
      </c>
      <c r="C23" s="116" t="str">
        <f>CONCATENATE(Resultate!$G$10," ")</f>
        <v>Winner Match #67 </v>
      </c>
      <c r="D23" s="171"/>
      <c r="E23" s="126"/>
      <c r="F23" s="167"/>
      <c r="G23" s="126"/>
      <c r="I23" s="125"/>
      <c r="J23" s="114"/>
    </row>
    <row r="24" spans="1:10" ht="12" customHeight="1">
      <c r="A24" s="117"/>
      <c r="B24" s="111" t="str">
        <f>CONCATENATE("(",Resultate!$H$8," : ",Resultate!$J$8,")")</f>
        <v>( : )</v>
      </c>
      <c r="C24" s="127"/>
      <c r="D24" s="166"/>
      <c r="E24" s="110"/>
      <c r="F24" s="132" t="s">
        <v>65</v>
      </c>
      <c r="G24" s="110"/>
      <c r="H24" s="173"/>
      <c r="I24" s="125"/>
      <c r="J24" s="114"/>
    </row>
    <row r="25" spans="1:10" s="129" customFormat="1" ht="12" customHeight="1">
      <c r="A25" s="108" t="str">
        <f>CONCATENATE("",Resultate!$A$4,"")</f>
        <v>63</v>
      </c>
      <c r="B25" s="116" t="str">
        <f>CONCATENATE(Resultate!$G$8," ")</f>
        <v>Winner Match #63 </v>
      </c>
      <c r="C25" s="123"/>
      <c r="D25" s="111"/>
      <c r="E25" s="123"/>
      <c r="F25" s="108" t="str">
        <f>CONCATENATE("",Resultate!$A$13,"")</f>
        <v>72</v>
      </c>
      <c r="G25" s="123"/>
      <c r="I25" s="125"/>
      <c r="J25" s="128"/>
    </row>
    <row r="26" spans="1:10" ht="12" customHeight="1">
      <c r="A26" s="111" t="str">
        <f>CONCATENATE("(",Resultate!$H$4," : ",Resultate!$J$4,")")</f>
        <v>( : )</v>
      </c>
      <c r="B26"/>
      <c r="C26" s="118"/>
      <c r="D26" s="117"/>
      <c r="E26" s="118"/>
      <c r="F26" s="133" t="str">
        <f>CONCATENATE("(",Resultate!$H$13," : ",Resultate!$J$13,")")</f>
        <v>( : )</v>
      </c>
      <c r="G26" s="118"/>
      <c r="I26" s="128"/>
      <c r="J26" s="107"/>
    </row>
    <row r="27" spans="1:11" ht="12" customHeight="1">
      <c r="A27" s="116" t="str">
        <f>CONCATENATE(Resultate!$G$4," ")</f>
        <v>Team 3, Gruppe C </v>
      </c>
      <c r="B27"/>
      <c r="C27" s="163" t="str">
        <f>CONCATENATE("",Resultate!$A$11,"")</f>
        <v>70</v>
      </c>
      <c r="D27" s="167"/>
      <c r="E27" s="139"/>
      <c r="F27" s="167"/>
      <c r="G27" s="164"/>
      <c r="I27" s="128"/>
      <c r="J27" s="107"/>
      <c r="K27"/>
    </row>
    <row r="28" spans="1:10" ht="12" customHeight="1">
      <c r="A28"/>
      <c r="B28" s="113"/>
      <c r="C28" s="123" t="str">
        <f>CONCATENATE("(",Resultate!$H$11," : ",Resultate!$J$11,")")</f>
        <v>( : )</v>
      </c>
      <c r="D28" s="167"/>
      <c r="E28" s="139"/>
      <c r="F28" s="167"/>
      <c r="G28" s="123"/>
      <c r="H28" s="110"/>
      <c r="I28" s="115"/>
      <c r="J28" s="107"/>
    </row>
    <row r="29" spans="1:10" ht="12" customHeight="1">
      <c r="A29"/>
      <c r="B29" s="103" t="str">
        <f>CONCATENATE(Resultate!$E$9," ")</f>
        <v>Team 1, Gruppe B </v>
      </c>
      <c r="C29" s="118"/>
      <c r="D29" s="117"/>
      <c r="E29" s="176"/>
      <c r="F29" s="134" t="str">
        <f>CONCATENATE(Resultate!$G$13," ")</f>
        <v>Winner Match #70 </v>
      </c>
      <c r="G29" s="118"/>
      <c r="H29" s="113"/>
      <c r="I29" s="114"/>
      <c r="J29" s="107"/>
    </row>
    <row r="30" spans="1:10" ht="12" customHeight="1">
      <c r="A30" s="113"/>
      <c r="B30" s="117"/>
      <c r="C30" s="118"/>
      <c r="D30" s="117"/>
      <c r="E30" s="118"/>
      <c r="G30" s="118"/>
      <c r="H30" s="113"/>
      <c r="I30" s="120"/>
      <c r="J30" s="107"/>
    </row>
    <row r="31" spans="1:11" ht="12" customHeight="1">
      <c r="A31" s="103" t="str">
        <f>CONCATENATE(Resultate!$E$5," ")</f>
        <v>Team 2, Gruppe A </v>
      </c>
      <c r="B31" s="108" t="str">
        <f>CONCATENATE("",Resultate!$A$9,"")</f>
        <v>68</v>
      </c>
      <c r="C31" s="170" t="str">
        <f>CONCATENATE(Resultate!$G$11," ")</f>
        <v>Winner Match #68 </v>
      </c>
      <c r="D31" s="172"/>
      <c r="E31" s="126"/>
      <c r="F31" s="118"/>
      <c r="G31" s="126"/>
      <c r="H31"/>
      <c r="I31" s="125"/>
      <c r="J31" s="122"/>
      <c r="K31"/>
    </row>
    <row r="32" spans="1:10" ht="12" customHeight="1">
      <c r="A32" s="117"/>
      <c r="B32" s="111" t="str">
        <f>CONCATENATE("(",Resultate!$H$9," : ",Resultate!$J$9,")")</f>
        <v>( : )</v>
      </c>
      <c r="C32" s="110"/>
      <c r="D32" s="110"/>
      <c r="E32" s="110"/>
      <c r="F32" s="118"/>
      <c r="G32" s="110"/>
      <c r="H32"/>
      <c r="I32" s="115"/>
      <c r="J32" s="122"/>
    </row>
    <row r="33" spans="1:11" ht="12" customHeight="1">
      <c r="A33" s="108" t="str">
        <f>CONCATENATE("",Resultate!$A$5,"")</f>
        <v>64</v>
      </c>
      <c r="B33" s="116" t="str">
        <f>CONCATENATE(Resultate!$G$9," ")</f>
        <v>Winner Match #64 </v>
      </c>
      <c r="C33" s="113"/>
      <c r="D33" s="113"/>
      <c r="E33" s="113"/>
      <c r="F33" s="118"/>
      <c r="G33" s="113"/>
      <c r="H33"/>
      <c r="I33" s="124"/>
      <c r="J33" s="122"/>
      <c r="K33"/>
    </row>
    <row r="34" spans="1:10" ht="12" customHeight="1">
      <c r="A34" s="111" t="str">
        <f>CONCATENATE("(",Resultate!$H$5," : ",Resultate!$J$5,")")</f>
        <v>( : )</v>
      </c>
      <c r="B34"/>
      <c r="C34"/>
      <c r="D34"/>
      <c r="E34"/>
      <c r="F34" s="123"/>
      <c r="G34"/>
      <c r="H34" s="113"/>
      <c r="I34" s="107"/>
      <c r="J34" s="122"/>
    </row>
    <row r="35" spans="1:10" s="138" customFormat="1" ht="12" customHeight="1">
      <c r="A35" s="116" t="str">
        <f>CONCATENATE(Resultate!$G$5," ")</f>
        <v>Team 3, Gruppe D </v>
      </c>
      <c r="B35" s="135"/>
      <c r="C35" s="136"/>
      <c r="D35" s="136"/>
      <c r="E35" s="136"/>
      <c r="F35" s="118"/>
      <c r="G35" s="136"/>
      <c r="H35" s="135"/>
      <c r="I35" s="137"/>
      <c r="J35" s="125"/>
    </row>
    <row r="36" spans="1:10" s="139" customFormat="1" ht="12.75">
      <c r="A36"/>
      <c r="F36" s="164"/>
      <c r="I36" s="114"/>
      <c r="J36" s="114"/>
    </row>
    <row r="37" ht="11.25">
      <c r="A37" s="135"/>
    </row>
    <row r="38" ht="9">
      <c r="A38" s="139"/>
    </row>
  </sheetData>
  <sheetProtection password="CCA4" sheet="1"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F14" sqref="F14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60" t="s">
        <v>33</v>
      </c>
      <c r="B1" s="161" t="s">
        <v>20</v>
      </c>
      <c r="C1" s="161" t="s">
        <v>6</v>
      </c>
    </row>
    <row r="2" spans="1:3" ht="15.75" customHeight="1">
      <c r="A2" s="8">
        <v>1</v>
      </c>
      <c r="B2" s="16" t="str">
        <f>IF(Resultate!$H$13=Resultate!$J$13,"1. Rang",IF(Resultate!$H$13&gt;Resultate!$J$13,Resultate!$E$13,Resultate!$G$13))</f>
        <v>1. Rang</v>
      </c>
      <c r="C2" s="162" t="str">
        <f>IF(B2="1. Rang","zu Hause",VLOOKUP(B2,Anmeldung!$I$2:$J$25,2,FALSE))</f>
        <v>zu Hause</v>
      </c>
    </row>
    <row r="3" spans="1:3" ht="15.75" customHeight="1">
      <c r="A3" s="8">
        <f>SUM(A2,1)</f>
        <v>2</v>
      </c>
      <c r="B3" s="16" t="str">
        <f>IF(Resultate!$H$13=Resultate!$J$13,"2. Rang",IF(Resultate!$H$13&lt;Resultate!$J$13,Resultate!$E$13,Resultate!$G$13))</f>
        <v>2. Rang</v>
      </c>
      <c r="C3" s="162" t="str">
        <f>IF(B3="2. Rang","zu Hause",VLOOKUP(B3,Anmeldung!$I$2:$J$25,2,FALSE))</f>
        <v>zu Hause</v>
      </c>
    </row>
    <row r="4" spans="1:3" ht="15.75" customHeight="1">
      <c r="A4" s="8">
        <f>SUM(A3,1)</f>
        <v>3</v>
      </c>
      <c r="B4" s="16" t="str">
        <f>IF(Resultate!$H$12=Resultate!$J$12,"3. Rang",IF(Resultate!$H$12&gt;Resultate!$J$12,Resultate!$E$12,Resultate!$G$12))</f>
        <v>3. Rang</v>
      </c>
      <c r="C4" s="162" t="str">
        <f>IF(B4="3. Rang","zu Hause",VLOOKUP(B4,Anmeldung!$I$2:$J$25,2,FALSE))</f>
        <v>zu Hause</v>
      </c>
    </row>
    <row r="5" spans="1:3" ht="15.75" customHeight="1">
      <c r="A5" s="8">
        <f>SUM(A4,1)</f>
        <v>4</v>
      </c>
      <c r="B5" s="16" t="str">
        <f>IF(Resultate!$H$12=Resultate!$J$12,"4. Rang",IF(Resultate!$H$12&lt;Resultate!$J$12,Resultate!$E$12,Resultate!$G$12))</f>
        <v>4. Rang</v>
      </c>
      <c r="C5" s="162" t="str">
        <f>IF(B5="4. Rang","zu Hause",VLOOKUP(B5,Anmeldung!$I$2:$J$25,2,FALSE))</f>
        <v>zu Hause</v>
      </c>
    </row>
    <row r="6" spans="1:3" ht="15.75" customHeight="1">
      <c r="A6" s="8">
        <f>SUM(A5,1)</f>
        <v>5</v>
      </c>
      <c r="B6" s="16" t="str">
        <f>IF(Resultate!$H7=Resultate!$J7,"5. Rang",IF(Resultate!$H7&lt;Resultate!$J7,Resultate!$E7,Resultate!$G7))</f>
        <v>5. Rang</v>
      </c>
      <c r="C6" s="162" t="str">
        <f>IF(B6="5. Rang","zu Hause",VLOOKUP(B6,Anmeldung!$I$2:$J$25,2,FALSE))</f>
        <v>zu Hause</v>
      </c>
    </row>
    <row r="7" spans="1:3" ht="15.75" customHeight="1">
      <c r="A7" s="8">
        <v>5</v>
      </c>
      <c r="B7" s="16" t="str">
        <f>IF(Resultate!$H8=Resultate!$J8,"5. Rang",IF(Resultate!$H8&lt;Resultate!$J8,Resultate!$E8,Resultate!$G8))</f>
        <v>5. Rang</v>
      </c>
      <c r="C7" s="162" t="str">
        <f>IF(B7="5. Rang","zu Hause",VLOOKUP(B7,Anmeldung!$I$2:$J$25,2,FALSE))</f>
        <v>zu Hause</v>
      </c>
    </row>
    <row r="8" spans="1:3" ht="15.75" customHeight="1">
      <c r="A8" s="8">
        <v>5</v>
      </c>
      <c r="B8" s="16" t="str">
        <f>IF(Resultate!$H6=Resultate!$J6,"5. Rang",IF(Resultate!$H6&lt;Resultate!$J6,Resultate!$E6,Resultate!$G6))</f>
        <v>5. Rang</v>
      </c>
      <c r="C8" s="162" t="str">
        <f>IF(B8="5. Rang","zu Hause",VLOOKUP(B8,Anmeldung!$I$2:$J$25,2,FALSE))</f>
        <v>zu Hause</v>
      </c>
    </row>
    <row r="9" spans="1:3" ht="15.75" customHeight="1">
      <c r="A9" s="8">
        <v>5</v>
      </c>
      <c r="B9" s="16" t="str">
        <f>IF(Resultate!$H9=Resultate!$J9,"5. Rang",IF(Resultate!$H9&lt;Resultate!$J9,Resultate!$E9,Resultate!$G9))</f>
        <v>5. Rang</v>
      </c>
      <c r="C9" s="162" t="str">
        <f>IF(B9="5. Rang","zu Hause",VLOOKUP(B9,Anmeldung!$I$2:$J$25,2,FALSE))</f>
        <v>zu Hause</v>
      </c>
    </row>
    <row r="10" spans="1:3" ht="15.75" customHeight="1">
      <c r="A10" s="8">
        <v>9</v>
      </c>
      <c r="B10" s="16" t="str">
        <f>IF(Resultate!$H2=Resultate!$J2,"9. Rang",IF(Resultate!$H2&lt;Resultate!$J2,Resultate!$E2,Resultate!$G2))</f>
        <v>9. Rang</v>
      </c>
      <c r="C10" s="162" t="str">
        <f>IF(B10="9. Rang","zu Hause",VLOOKUP(B10,Anmeldung!$I$2:$J$25,2,FALSE))</f>
        <v>zu Hause</v>
      </c>
    </row>
    <row r="11" spans="1:3" ht="15.75" customHeight="1">
      <c r="A11" s="8">
        <v>9</v>
      </c>
      <c r="B11" s="16" t="str">
        <f>IF(Resultate!$H3=Resultate!$J3,"9. Rang",IF(Resultate!$H3&lt;Resultate!$J3,Resultate!$E3,Resultate!$G3))</f>
        <v>9. Rang</v>
      </c>
      <c r="C11" s="162" t="str">
        <f>IF(B11="9. Rang","zu Hause",VLOOKUP(B11,Anmeldung!$I$2:$J$25,2,FALSE))</f>
        <v>zu Hause</v>
      </c>
    </row>
    <row r="12" spans="1:3" ht="15.75" customHeight="1">
      <c r="A12" s="8">
        <v>9</v>
      </c>
      <c r="B12" s="16" t="str">
        <f>IF(Resultate!$H4=Resultate!$J4,"9. Rang",IF(Resultate!$H4&lt;Resultate!$J4,Resultate!$E4,Resultate!$G4))</f>
        <v>9. Rang</v>
      </c>
      <c r="C12" s="162" t="str">
        <f>IF(B12="9. Rang","zu Hause",VLOOKUP(B12,Anmeldung!$I$2:$J$25,2,FALSE))</f>
        <v>zu Hause</v>
      </c>
    </row>
    <row r="13" spans="1:3" ht="15.75" customHeight="1">
      <c r="A13" s="8">
        <v>9</v>
      </c>
      <c r="B13" s="16" t="str">
        <f>IF(Resultate!$H5=Resultate!$J5,"9. Rang",IF(Resultate!$H5&lt;Resultate!$J5,Resultate!$E5,Resultate!$G5))</f>
        <v>9. Rang</v>
      </c>
      <c r="C13" s="162" t="str">
        <f>IF(B13="9. Rang","zu Hause",VLOOKUP(B13,Anmeldung!$I$2:$J$25,2,FALSE))</f>
        <v>zu Hause</v>
      </c>
    </row>
    <row r="14" spans="1:3" ht="15.75" customHeight="1">
      <c r="A14" s="8">
        <v>13</v>
      </c>
      <c r="B14" s="16" t="str">
        <f>IF(RankSeed!N17="Team 4, Gruppe A","13. Rang",RankSeed!N17)</f>
        <v>13. Rang</v>
      </c>
      <c r="C14" s="162" t="str">
        <f>IF(B14="13. Rang","zu Hause",VLOOKUP(B14,Anmeldung!$I$2:$J$25,2,FALSE))</f>
        <v>zu Hause</v>
      </c>
    </row>
    <row r="15" spans="1:3" ht="15.75" customHeight="1">
      <c r="A15" s="8">
        <v>13</v>
      </c>
      <c r="B15" s="16" t="str">
        <f>IF(RankSeed!N18="Team 4, Gruppe B","13. Rang",RankSeed!N18)</f>
        <v>13. Rang</v>
      </c>
      <c r="C15" s="162" t="str">
        <f>IF(B15="13. Rang","zu Hause",VLOOKUP(B15,Anmeldung!$I$2:$J$25,2,FALSE))</f>
        <v>zu Hause</v>
      </c>
    </row>
    <row r="16" spans="1:3" ht="15.75" customHeight="1">
      <c r="A16" s="8">
        <v>13</v>
      </c>
      <c r="B16" s="16" t="str">
        <f>IF(RankSeed!N19="Team 4, Gruppe C","13. Rang",RankSeed!N19)</f>
        <v>13. Rang</v>
      </c>
      <c r="C16" s="162" t="str">
        <f>IF(B16="13. Rang","zu Hause",VLOOKUP(B16,Anmeldung!$I$2:$J$25,2,FALSE))</f>
        <v>zu Hause</v>
      </c>
    </row>
    <row r="17" spans="1:3" ht="15.75" customHeight="1">
      <c r="A17" s="8">
        <v>13</v>
      </c>
      <c r="B17" s="16" t="str">
        <f>IF(RankSeed!N20="Team 4, Gruppe D","13. Rang",RankSeed!N20)</f>
        <v>13. Rang</v>
      </c>
      <c r="C17" s="162" t="str">
        <f>IF(B17="13. Rang","zu Hause",VLOOKUP(B17,Anmeldung!$I$2:$J$25,2,FALSE))</f>
        <v>zu Hause</v>
      </c>
    </row>
    <row r="18" spans="1:3" ht="15.75" customHeight="1">
      <c r="A18" s="8">
        <v>17</v>
      </c>
      <c r="B18" s="16" t="str">
        <f>IF(RankSeed!N21="Team 5, Gruppe A","17. Rang",RankSeed!N21)</f>
        <v>17. Rang</v>
      </c>
      <c r="C18" s="162" t="str">
        <f>IF(B18="17. Rang","zu Hause",VLOOKUP(B18,Anmeldung!$I$2:$J$25,2,FALSE))</f>
        <v>zu Hause</v>
      </c>
    </row>
    <row r="19" spans="1:3" ht="15.75" customHeight="1">
      <c r="A19" s="8">
        <v>17</v>
      </c>
      <c r="B19" s="16" t="str">
        <f>IF(RankSeed!N22="Team 5, Gruppe B","17. Rang",RankSeed!N22)</f>
        <v>17. Rang</v>
      </c>
      <c r="C19" s="162" t="str">
        <f>IF(B19="17. Rang","zu Hause",VLOOKUP(B19,Anmeldung!$I$2:$J$25,2,FALSE))</f>
        <v>zu Hause</v>
      </c>
    </row>
    <row r="20" spans="1:3" ht="15.75" customHeight="1">
      <c r="A20" s="8">
        <v>17</v>
      </c>
      <c r="B20" s="16" t="str">
        <f>IF(RankSeed!N23="Team 5, Gruppe C","17. Rang",RankSeed!N23)</f>
        <v>17. Rang</v>
      </c>
      <c r="C20" s="162" t="str">
        <f>IF(B20="17. Rang","zu Hause",VLOOKUP(B20,Anmeldung!$I$2:$J$25,2,FALSE))</f>
        <v>zu Hause</v>
      </c>
    </row>
    <row r="21" spans="1:3" ht="15.75" customHeight="1">
      <c r="A21" s="8">
        <v>17</v>
      </c>
      <c r="B21" s="16" t="str">
        <f>IF(RankSeed!N24="Team 5, Gruppe D","17. Rang",RankSeed!N24)</f>
        <v>17. Rang</v>
      </c>
      <c r="C21" s="162" t="str">
        <f>IF(B21="17. Rang","zu Hause",VLOOKUP(B21,Anmeldung!$I$2:$J$25,2,FALSE))</f>
        <v>zu Hause</v>
      </c>
    </row>
    <row r="22" spans="1:3" ht="15.75" customHeight="1">
      <c r="A22" s="8">
        <v>21</v>
      </c>
      <c r="B22" s="16" t="str">
        <f>IF(RankSeed!N25="Team 6, Gruppe A","21. Rang",RankSeed!N25)</f>
        <v>21. Rang</v>
      </c>
      <c r="C22" s="162" t="str">
        <f>IF(B22="21. Rang","zu Hause",VLOOKUP(B22,Anmeldung!$I$2:$J$25,2,FALSE))</f>
        <v>zu Hause</v>
      </c>
    </row>
    <row r="23" spans="1:3" ht="15.75" customHeight="1">
      <c r="A23" s="8">
        <v>21</v>
      </c>
      <c r="B23" s="16" t="str">
        <f>IF(RankSeed!N26="Team 6, Gruppe B","21. Rang",RankSeed!N26)</f>
        <v>21. Rang</v>
      </c>
      <c r="C23" s="162" t="str">
        <f>IF(B23="21. Rang","zu Hause",VLOOKUP(B23,Anmeldung!$I$2:$J$25,2,FALSE))</f>
        <v>zu Hause</v>
      </c>
    </row>
    <row r="24" spans="1:3" ht="15.75" customHeight="1">
      <c r="A24" s="8">
        <v>21</v>
      </c>
      <c r="B24" s="16" t="str">
        <f>IF(RankSeed!N27="Team 6, Gruppe C","21. Rang",RankSeed!N27)</f>
        <v>21. Rang</v>
      </c>
      <c r="C24" s="162" t="str">
        <f>IF(B24="21. Rang","zu Hause",VLOOKUP(B24,Anmeldung!$I$2:$J$25,2,FALSE))</f>
        <v>zu Hause</v>
      </c>
    </row>
    <row r="25" spans="1:3" ht="15.75" customHeight="1">
      <c r="A25" s="8">
        <v>21</v>
      </c>
      <c r="B25" s="16" t="str">
        <f>IF(RankSeed!N28="Team 6, Gruppe D","21. Rang",RankSeed!N28)</f>
        <v>21. Rang</v>
      </c>
      <c r="C25" s="162" t="str">
        <f>IF(B25="21. Rang","zu Hause",VLOOKUP(B25,Anmeldung!$I$2:$J$25,2,FALSE))</f>
        <v>zu Hause</v>
      </c>
    </row>
  </sheetData>
  <sheetProtection password="CCA4" sheet="1" selectLockedCells="1"/>
  <printOptions gridLines="1" horizontalCentered="1"/>
  <pageMargins left="0.1968503937007874" right="0.1968503937007874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&amp;L&amp;8&amp;F&amp;C&amp;"Arial,Fett"&amp;12
Schlussrangliste 24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Tina Schläppi</cp:lastModifiedBy>
  <cp:lastPrinted>2020-04-07T11:25:44Z</cp:lastPrinted>
  <dcterms:created xsi:type="dcterms:W3CDTF">1997-01-17T14:30:38Z</dcterms:created>
  <dcterms:modified xsi:type="dcterms:W3CDTF">2020-04-07T11:26:00Z</dcterms:modified>
  <cp:category/>
  <cp:version/>
  <cp:contentType/>
  <cp:contentStatus/>
</cp:coreProperties>
</file>