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definedNames>
    <definedName name="_Fill" hidden="1">#REF!</definedName>
    <definedName name="_xlnm.Print_Area" localSheetId="0">'Anmeldung'!$A$1:$L$21</definedName>
    <definedName name="_xlnm.Print_Area" localSheetId="5">'Rangliste'!$A$1:$C$13</definedName>
    <definedName name="_xlnm.Print_Area" localSheetId="2">'RankSeed'!$A$1:$N$22</definedName>
    <definedName name="_xlnm.Print_Area" localSheetId="3">'Resultate'!$A$1:$T$7</definedName>
    <definedName name="_xlnm.Print_Area" localSheetId="4">'Tableau'!$A$1:$F$15</definedName>
    <definedName name="_xlnm.Print_Area" localSheetId="1">'Vorrunde'!$A$1:$T$31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<sst xmlns="http://schemas.openxmlformats.org/spreadsheetml/2006/main" count="318" uniqueCount="65">
  <si>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</si>
  <si>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</si>
  <si>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</si>
  <si>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</si>
  <si>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</si>
  <si>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</si>
  <si>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</si>
  <si>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</si>
  <si>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</si>
  <si>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</si>
  <si>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</si>
  <si>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</si>
  <si>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</si>
  <si>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</si>
  <si>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</si>
  <si>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</si>
  <si>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</si>
  <si>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</si>
  <si>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</si>
  <si>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</si>
  <si>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</si>
  <si>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</si>
  <si>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</si>
  <si>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</si>
  <si>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</si>
  <si>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</si>
  <si>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</si>
  <si>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</si>
  <si>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</si>
  <si>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</si>
  <si>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</si>
  <si>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</si>
  <si>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</si>
  <si>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</si>
  <si>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</si>
  <si>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</si>
  <si>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</si>
  <si>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Startzeit</t>
  </si>
  <si>
    <t>Eingabe nötig</t>
  </si>
  <si>
    <t>Eingabe erwünscht</t>
  </si>
  <si>
    <t>B4</t>
  </si>
  <si>
    <t>A4</t>
  </si>
  <si>
    <t>Player 1/Player 2</t>
  </si>
  <si>
    <t>A5</t>
  </si>
  <si>
    <t>B5</t>
  </si>
  <si>
    <t>3. Set</t>
  </si>
  <si>
    <t>D1</t>
  </si>
  <si>
    <t>C2</t>
  </si>
  <si>
    <t>D2</t>
  </si>
  <si>
    <t>Rangierung</t>
  </si>
  <si>
    <t>SF</t>
  </si>
  <si>
    <t>Finale</t>
  </si>
  <si>
    <t>3./4. Rang</t>
  </si>
  <si>
    <t>Richtzeit</t>
  </si>
  <si>
    <t>3. Satz</t>
  </si>
  <si>
    <t>A6</t>
  </si>
  <si>
    <t>B6</t>
  </si>
  <si>
    <t>1. Satzverhältnis aller Gruppenspiele (Diff)</t>
  </si>
  <si>
    <t>2. Verhältnis der erspielten Punkte (RQ)</t>
  </si>
  <si>
    <t>3. Los</t>
  </si>
  <si>
    <r>
      <t xml:space="preserve">Bei identischen Rängen von </t>
    </r>
    <r>
      <rPr>
        <b/>
        <sz val="10"/>
        <rFont val="Arial"/>
        <family val="2"/>
      </rPr>
      <t>2 Teams</t>
    </r>
    <r>
      <rPr>
        <sz val="10"/>
        <rFont val="Arial"/>
        <family val="0"/>
      </rPr>
      <t>,</t>
    </r>
  </si>
  <si>
    <t>Rang von Hand eingeben:</t>
  </si>
  <si>
    <t>1. Direkte Begegnung</t>
  </si>
  <si>
    <r>
      <t xml:space="preserve">Bei identischen Rängen von </t>
    </r>
    <r>
      <rPr>
        <b/>
        <sz val="10"/>
        <rFont val="Arial"/>
        <family val="2"/>
      </rPr>
      <t>3 oder mehr Teams</t>
    </r>
    <r>
      <rPr>
        <sz val="10"/>
        <rFont val="Arial"/>
        <family val="0"/>
      </rPr>
      <t xml:space="preserve">, </t>
    </r>
  </si>
  <si>
    <t>Lizenz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</si>
</sst>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hh:mm:ss;@"/>
    <numFmt numFmtId="205" formatCode="0.0000"/>
    <numFmt numFmtId="206" formatCode="h:mm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30" xfId="0" applyFont="1" applyFill="1" applyBorder="1" applyAlignment="1" applyProtection="1">
      <alignment horizontal="center" vertical="center"/>
      <protection locked="0"/>
    </xf>
    <xf numFmtId="0" fontId="4" fillId="18" borderId="3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205" fontId="0" fillId="0" borderId="21" xfId="0" applyNumberFormat="1" applyBorder="1" applyAlignment="1">
      <alignment horizontal="center"/>
    </xf>
    <xf numFmtId="205" fontId="0" fillId="0" borderId="2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2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20" fontId="4" fillId="7" borderId="28" xfId="0" applyNumberFormat="1" applyFont="1" applyFill="1" applyBorder="1" applyAlignment="1" applyProtection="1">
      <alignment horizontal="center" vertical="center"/>
      <protection locked="0"/>
    </xf>
    <xf numFmtId="0" fontId="4" fillId="18" borderId="28" xfId="0" applyFont="1" applyFill="1" applyBorder="1" applyAlignment="1" applyProtection="1">
      <alignment horizontal="center"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206" fontId="4" fillId="0" borderId="31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18" borderId="22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18" borderId="2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18" borderId="19" xfId="0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26" xfId="0" applyBorder="1" applyAlignment="1">
      <alignment vertical="center"/>
    </xf>
    <xf numFmtId="37" fontId="5" fillId="0" borderId="26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37" fontId="1" fillId="19" borderId="2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28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7" fontId="24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Continuous" vertical="center"/>
    </xf>
    <xf numFmtId="16" fontId="4" fillId="7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0" fontId="0" fillId="20" borderId="0" xfId="53" applyFill="1" applyBorder="1" applyAlignment="1">
      <alignment horizontal="center"/>
      <protection/>
    </xf>
    <xf numFmtId="0" fontId="0" fillId="20" borderId="0" xfId="0" applyFont="1" applyFill="1" applyBorder="1" applyAlignment="1">
      <alignment horizontal="left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0" xfId="0" applyFill="1" applyBorder="1" applyAlignment="1">
      <alignment horizontal="left"/>
    </xf>
    <xf numFmtId="0" fontId="0" fillId="0" borderId="0" xfId="53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206" fontId="4" fillId="0" borderId="39" xfId="0" applyNumberFormat="1" applyFont="1" applyBorder="1" applyAlignment="1" applyProtection="1">
      <alignment horizontal="center" vertical="center"/>
      <protection/>
    </xf>
    <xf numFmtId="0" fontId="4" fillId="18" borderId="38" xfId="0" applyFont="1" applyFill="1" applyBorder="1" applyAlignment="1" applyProtection="1">
      <alignment horizontal="center" vertical="center"/>
      <protection locked="0"/>
    </xf>
    <xf numFmtId="0" fontId="4" fillId="18" borderId="39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43" xfId="0" applyFont="1" applyBorder="1" applyAlignment="1" applyProtection="1">
      <alignment horizontal="centerContinuous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6.00390625" style="2" customWidth="1"/>
    <col min="5" max="5" width="13.140625" style="0" customWidth="1"/>
    <col min="6" max="6" width="10.7109375" style="2" customWidth="1"/>
    <col min="7" max="7" width="6.5742187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6.140625" style="0" customWidth="1"/>
    <col min="13" max="14" width="14.57421875" style="0" hidden="1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64</v>
      </c>
      <c r="E1" s="13" t="s">
        <v>3</v>
      </c>
      <c r="F1" s="13" t="s">
        <v>2</v>
      </c>
      <c r="G1" s="14" t="s">
        <v>64</v>
      </c>
      <c r="H1" s="14" t="s">
        <v>4</v>
      </c>
      <c r="I1" s="15" t="s">
        <v>5</v>
      </c>
      <c r="J1" s="14" t="s">
        <v>6</v>
      </c>
      <c r="K1" s="29" t="s">
        <v>7</v>
      </c>
      <c r="L1" s="177" t="s">
        <v>0</v>
      </c>
      <c r="M1" s="176" t="s">
        <v>5</v>
      </c>
      <c r="N1" s="76" t="s">
        <v>42</v>
      </c>
    </row>
    <row r="2" spans="1:14" s="11" customFormat="1" ht="13.5" customHeight="1" thickTop="1">
      <c r="A2" s="6">
        <v>1</v>
      </c>
      <c r="B2" s="72"/>
      <c r="C2" s="70"/>
      <c r="D2" s="54"/>
      <c r="E2" s="72"/>
      <c r="F2" s="70"/>
      <c r="G2" s="149"/>
      <c r="H2" s="54"/>
      <c r="I2" s="4" t="str">
        <f>CONCATENATE($B$2," / ",$E$2)</f>
        <v> / </v>
      </c>
      <c r="J2" s="70"/>
      <c r="K2" s="30"/>
      <c r="L2" s="32">
        <v>1</v>
      </c>
      <c r="M2" s="74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73"/>
      <c r="C3" s="71"/>
      <c r="D3" s="55"/>
      <c r="E3" s="73"/>
      <c r="F3" s="71"/>
      <c r="G3" s="150"/>
      <c r="H3" s="55"/>
      <c r="I3" s="5" t="str">
        <f>CONCATENATE($B$3," / ",$E$3)</f>
        <v> / </v>
      </c>
      <c r="J3" s="71"/>
      <c r="K3" s="31"/>
      <c r="L3" s="8">
        <v>2</v>
      </c>
      <c r="M3" s="75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73"/>
      <c r="C4" s="71"/>
      <c r="D4" s="55"/>
      <c r="E4" s="73"/>
      <c r="F4" s="71"/>
      <c r="G4" s="150"/>
      <c r="H4" s="55"/>
      <c r="I4" s="5" t="str">
        <f>CONCATENATE($B$4," / ",$E$4)</f>
        <v> / </v>
      </c>
      <c r="J4" s="71"/>
      <c r="K4" s="31"/>
      <c r="L4" s="32">
        <v>3</v>
      </c>
      <c r="M4" s="75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73"/>
      <c r="C5" s="71"/>
      <c r="D5" s="55"/>
      <c r="E5" s="73"/>
      <c r="F5" s="71"/>
      <c r="G5" s="150"/>
      <c r="H5" s="55"/>
      <c r="I5" s="5" t="str">
        <f>CONCATENATE($B$5," / ",$E$5)</f>
        <v> / </v>
      </c>
      <c r="J5" s="71"/>
      <c r="K5" s="31"/>
      <c r="L5" s="8">
        <v>4</v>
      </c>
      <c r="M5" s="75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73"/>
      <c r="C6" s="71"/>
      <c r="D6" s="55"/>
      <c r="E6" s="73"/>
      <c r="F6" s="71"/>
      <c r="G6" s="150"/>
      <c r="H6" s="55"/>
      <c r="I6" s="5" t="str">
        <f>CONCATENATE($B$6," / ",$E$6)</f>
        <v> / </v>
      </c>
      <c r="J6" s="71"/>
      <c r="K6" s="31"/>
      <c r="L6" s="32">
        <v>5</v>
      </c>
      <c r="M6" s="75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73"/>
      <c r="C7" s="71"/>
      <c r="D7" s="55"/>
      <c r="E7" s="73"/>
      <c r="F7" s="71"/>
      <c r="G7" s="150"/>
      <c r="H7" s="55"/>
      <c r="I7" s="5" t="str">
        <f>CONCATENATE($B$7," / ",$E$7)</f>
        <v> / </v>
      </c>
      <c r="J7" s="71"/>
      <c r="K7" s="31"/>
      <c r="L7" s="8">
        <v>6</v>
      </c>
      <c r="M7" s="75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73"/>
      <c r="C8" s="71"/>
      <c r="D8" s="55"/>
      <c r="E8" s="73"/>
      <c r="F8" s="71"/>
      <c r="G8" s="150"/>
      <c r="H8" s="55"/>
      <c r="I8" s="5" t="str">
        <f>CONCATENATE($B$8," / ",$E$8)</f>
        <v> / </v>
      </c>
      <c r="J8" s="71"/>
      <c r="K8" s="31"/>
      <c r="L8" s="32">
        <v>7</v>
      </c>
      <c r="M8" s="75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73"/>
      <c r="C9" s="71"/>
      <c r="D9" s="55"/>
      <c r="E9" s="73"/>
      <c r="F9" s="71"/>
      <c r="G9" s="150"/>
      <c r="H9" s="55"/>
      <c r="I9" s="5" t="str">
        <f>CONCATENATE($B$9," / ",$E$9)</f>
        <v> / </v>
      </c>
      <c r="J9" s="71"/>
      <c r="K9" s="31"/>
      <c r="L9" s="8">
        <v>8</v>
      </c>
      <c r="M9" s="75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73"/>
      <c r="C10" s="71"/>
      <c r="D10" s="55"/>
      <c r="E10" s="73"/>
      <c r="F10" s="71"/>
      <c r="G10" s="150"/>
      <c r="H10" s="55"/>
      <c r="I10" s="5" t="str">
        <f>CONCATENATE($B10," / ",$E10)</f>
        <v> / </v>
      </c>
      <c r="J10" s="71"/>
      <c r="K10" s="31"/>
      <c r="L10" s="32">
        <v>9</v>
      </c>
      <c r="M10" s="75" t="str">
        <f>CONCATENATE($B10," / ",$E10)</f>
        <v> / </v>
      </c>
      <c r="N10" s="5" t="str">
        <f>CONCATENATE($C10," ",$B10," / ",$F10," ",$E10)</f>
        <v>  /  </v>
      </c>
    </row>
    <row r="11" spans="1:14" s="11" customFormat="1" ht="13.5" customHeight="1">
      <c r="A11" s="7">
        <v>10</v>
      </c>
      <c r="B11" s="73"/>
      <c r="C11" s="71"/>
      <c r="D11" s="55"/>
      <c r="E11" s="73"/>
      <c r="F11" s="71"/>
      <c r="G11" s="150"/>
      <c r="H11" s="55"/>
      <c r="I11" s="5" t="str">
        <f>CONCATENATE($B11," / ",$E11)</f>
        <v> / </v>
      </c>
      <c r="J11" s="71"/>
      <c r="K11" s="31"/>
      <c r="L11" s="8">
        <v>10</v>
      </c>
      <c r="M11" s="75" t="str">
        <f>CONCATENATE($B11," / ",$E11)</f>
        <v> / </v>
      </c>
      <c r="N11" s="5" t="str">
        <f>CONCATENATE($C11," ",$B11," / ",$F11," ",$E11)</f>
        <v>  /  </v>
      </c>
    </row>
    <row r="12" spans="1:14" s="11" customFormat="1" ht="13.5" customHeight="1">
      <c r="A12" s="88">
        <v>11</v>
      </c>
      <c r="B12" s="89"/>
      <c r="C12" s="90"/>
      <c r="D12" s="91"/>
      <c r="E12" s="89"/>
      <c r="F12" s="90"/>
      <c r="G12" s="151"/>
      <c r="H12" s="91"/>
      <c r="I12" s="5" t="str">
        <f>CONCATENATE($B12," / ",$E12)</f>
        <v> / </v>
      </c>
      <c r="J12" s="90"/>
      <c r="K12" s="31"/>
      <c r="L12" s="32">
        <v>11</v>
      </c>
      <c r="M12" s="75" t="str">
        <f>CONCATENATE($B12," / ",$E12)</f>
        <v> / </v>
      </c>
      <c r="N12" s="5" t="str">
        <f>CONCATENATE($C12," ",$B12," / ",$F12," ",$E12)</f>
        <v>  /  </v>
      </c>
    </row>
    <row r="13" spans="1:14" s="11" customFormat="1" ht="13.5" customHeight="1">
      <c r="A13" s="7">
        <v>12</v>
      </c>
      <c r="B13" s="73"/>
      <c r="C13" s="71"/>
      <c r="D13" s="55"/>
      <c r="E13" s="73"/>
      <c r="F13" s="71"/>
      <c r="G13" s="150"/>
      <c r="H13" s="55"/>
      <c r="I13" s="5" t="str">
        <f>CONCATENATE($B13," / ",$E13)</f>
        <v> / </v>
      </c>
      <c r="J13" s="71"/>
      <c r="K13" s="31"/>
      <c r="L13" s="8">
        <v>12</v>
      </c>
      <c r="M13" s="75" t="str">
        <f>CONCATENATE($B13," / ",$E13)</f>
        <v> / </v>
      </c>
      <c r="N13" s="5" t="str">
        <f>CONCATENATE($C13," ",$B13," / ",$F13," ",$E13)</f>
        <v>  /  </v>
      </c>
    </row>
    <row r="14" ht="12.75">
      <c r="G14" s="152"/>
    </row>
    <row r="15" spans="1:12" ht="12.75">
      <c r="A15" s="23"/>
      <c r="B15" s="169" t="s">
        <v>23</v>
      </c>
      <c r="C15" s="169"/>
      <c r="D15" s="170" t="s">
        <v>24</v>
      </c>
      <c r="E15" s="169"/>
      <c r="F15" s="171"/>
      <c r="G15" s="172"/>
      <c r="H15" s="172"/>
      <c r="I15" s="172"/>
      <c r="J15" s="172"/>
      <c r="K15" s="172"/>
      <c r="L15" s="172"/>
    </row>
    <row r="16" spans="1:12" ht="12.75">
      <c r="A16" s="24">
        <v>1</v>
      </c>
      <c r="B16" s="163" t="str">
        <f>IF(I2=" / ","Team 1, Gruppe A",I2)</f>
        <v>Team 1, Gruppe A</v>
      </c>
      <c r="C16" s="163"/>
      <c r="D16" s="164" t="str">
        <f>IF(I3=" / ","Team 1, Gruppe B",I3)</f>
        <v>Team 1, Gruppe B</v>
      </c>
      <c r="E16" s="163"/>
      <c r="F16" s="165"/>
      <c r="G16" s="163"/>
      <c r="H16" s="163"/>
      <c r="I16" s="163"/>
      <c r="J16" s="163"/>
      <c r="K16" s="163"/>
      <c r="L16" s="163"/>
    </row>
    <row r="17" spans="1:12" ht="12.75">
      <c r="A17" s="24">
        <v>2</v>
      </c>
      <c r="B17" s="163" t="str">
        <f>IF(I5=" / ","Team 2, Gruppe A",I5)</f>
        <v>Team 2, Gruppe A</v>
      </c>
      <c r="C17" s="163"/>
      <c r="D17" s="164" t="str">
        <f>IF(I4=" / ","Team 2, Gruppe B",I4)</f>
        <v>Team 2, Gruppe B</v>
      </c>
      <c r="E17" s="163"/>
      <c r="F17" s="165"/>
      <c r="G17" s="163"/>
      <c r="H17" s="163"/>
      <c r="I17" s="163"/>
      <c r="J17" s="163"/>
      <c r="K17" s="163"/>
      <c r="L17" s="163"/>
    </row>
    <row r="18" spans="1:12" ht="12.75">
      <c r="A18" s="24">
        <v>3</v>
      </c>
      <c r="B18" s="163" t="str">
        <f>IF(I6=" / ","Team 3, Gruppe A",I6)</f>
        <v>Team 3, Gruppe A</v>
      </c>
      <c r="C18" s="163"/>
      <c r="D18" s="164" t="str">
        <f>IF(I7=" / ","Team 3, Gruppe B",I7)</f>
        <v>Team 3, Gruppe B</v>
      </c>
      <c r="E18" s="163"/>
      <c r="F18" s="165"/>
      <c r="G18" s="163"/>
      <c r="H18" s="163"/>
      <c r="I18" s="163"/>
      <c r="J18" s="163"/>
      <c r="K18" s="163"/>
      <c r="L18" s="163"/>
    </row>
    <row r="19" spans="1:12" ht="12.75">
      <c r="A19" s="24">
        <v>4</v>
      </c>
      <c r="B19" s="163" t="str">
        <f>IF(I9=" / ","Team 4, Gruppe A",I9)</f>
        <v>Team 4, Gruppe A</v>
      </c>
      <c r="C19" s="163"/>
      <c r="D19" s="164" t="str">
        <f>IF(I8=" / ","Team 4, Gruppe B",I8)</f>
        <v>Team 4, Gruppe B</v>
      </c>
      <c r="E19" s="163"/>
      <c r="F19" s="165"/>
      <c r="G19" s="163"/>
      <c r="H19" s="163"/>
      <c r="I19" s="163"/>
      <c r="J19" s="163"/>
      <c r="K19" s="163"/>
      <c r="L19" s="163"/>
    </row>
    <row r="20" spans="1:12" ht="12.75">
      <c r="A20" s="24">
        <v>5</v>
      </c>
      <c r="B20" s="163" t="str">
        <f>IF(I10=" / ","Team 5, Gruppe A",I10)</f>
        <v>Team 5, Gruppe A</v>
      </c>
      <c r="C20" s="163"/>
      <c r="D20" s="164" t="str">
        <f>IF(I11=" / ","Team 5, Gruppe B",I11)</f>
        <v>Team 5, Gruppe B</v>
      </c>
      <c r="E20" s="163"/>
      <c r="F20" s="165"/>
      <c r="G20" s="163"/>
      <c r="H20" s="163"/>
      <c r="I20" s="163"/>
      <c r="J20" s="163"/>
      <c r="K20" s="163"/>
      <c r="L20" s="163"/>
    </row>
    <row r="21" spans="1:12" ht="12.75">
      <c r="A21" s="25">
        <v>6</v>
      </c>
      <c r="B21" s="166" t="str">
        <f>IF(I13=" / ","Team 6, Gruppe A",I13)</f>
        <v>Team 6, Gruppe A</v>
      </c>
      <c r="C21" s="166"/>
      <c r="D21" s="167" t="str">
        <f>IF(I12=" / ","Team 6, Gruppe B",I12)</f>
        <v>Team 6, Gruppe B</v>
      </c>
      <c r="E21" s="166"/>
      <c r="F21" s="168"/>
      <c r="G21" s="163"/>
      <c r="H21" s="163"/>
      <c r="I21" s="163"/>
      <c r="J21" s="163"/>
      <c r="K21" s="163"/>
      <c r="L21" s="163"/>
    </row>
    <row r="23" spans="1:12" ht="12.75">
      <c r="A23" s="58" t="s">
        <v>38</v>
      </c>
      <c r="B23" s="59"/>
      <c r="D23" s="60" t="s">
        <v>39</v>
      </c>
      <c r="E23" s="48"/>
      <c r="J23" s="92"/>
      <c r="K23" s="92"/>
      <c r="L23" s="93"/>
    </row>
    <row r="24" ht="12.75">
      <c r="A24" s="57"/>
    </row>
  </sheetData>
  <sheetProtection password="CCA4" sheet="1" formatCells="0" formatColumns="0" formatRows="0" selectLockedCells="1"/>
  <mergeCells count="28">
    <mergeCell ref="B19:C19"/>
    <mergeCell ref="D19:F19"/>
    <mergeCell ref="G19:I19"/>
    <mergeCell ref="J19:L19"/>
    <mergeCell ref="G15:I15"/>
    <mergeCell ref="G16:I16"/>
    <mergeCell ref="G17:I17"/>
    <mergeCell ref="G18:I18"/>
    <mergeCell ref="J15:L15"/>
    <mergeCell ref="J16:L16"/>
    <mergeCell ref="J17:L17"/>
    <mergeCell ref="J18:L18"/>
    <mergeCell ref="B18:C18"/>
    <mergeCell ref="B15:C15"/>
    <mergeCell ref="D15:F15"/>
    <mergeCell ref="D16:F16"/>
    <mergeCell ref="D17:F17"/>
    <mergeCell ref="B16:C16"/>
    <mergeCell ref="B17:C17"/>
    <mergeCell ref="D18:F18"/>
    <mergeCell ref="B20:C20"/>
    <mergeCell ref="D20:F20"/>
    <mergeCell ref="G20:I20"/>
    <mergeCell ref="J20:L20"/>
    <mergeCell ref="B21:C21"/>
    <mergeCell ref="D21:F21"/>
    <mergeCell ref="G21:I21"/>
    <mergeCell ref="J21:L21"/>
  </mergeCells>
  <printOptions horizontalCentered="1" verticalCentered="1"/>
  <pageMargins left="0.5905511811023623" right="0.5905511811023623" top="0.984251968503937" bottom="0.79" header="0.5118110236220472" footer="0.5118110236220472"/>
  <pageSetup horizontalDpi="300" verticalDpi="300" orientation="landscape" paperSize="9" r:id="rId1"/>
  <headerFooter alignWithMargins="0">
    <oddHeader>&amp;L&amp;F&amp;CSetzliste 12 Teams
2 Gruppen à 6 Teams
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workbookViewId="0" topLeftCell="A1">
      <selection activeCell="C12" sqref="C12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8</v>
      </c>
      <c r="B1" s="17" t="s">
        <v>25</v>
      </c>
      <c r="C1" s="17" t="s">
        <v>10</v>
      </c>
      <c r="D1" s="17" t="s">
        <v>53</v>
      </c>
      <c r="E1" s="13" t="s">
        <v>11</v>
      </c>
      <c r="F1" s="13" t="s">
        <v>12</v>
      </c>
      <c r="G1" s="13" t="s">
        <v>13</v>
      </c>
      <c r="H1" s="161" t="s">
        <v>14</v>
      </c>
      <c r="I1" s="162"/>
      <c r="J1" s="178"/>
      <c r="K1" s="14" t="s">
        <v>15</v>
      </c>
      <c r="L1" s="178" t="s">
        <v>21</v>
      </c>
      <c r="M1" s="178"/>
      <c r="N1" s="178"/>
      <c r="O1" s="178" t="s">
        <v>22</v>
      </c>
      <c r="P1" s="178"/>
      <c r="Q1" s="178"/>
      <c r="R1" s="179" t="s">
        <v>45</v>
      </c>
      <c r="S1" s="179"/>
      <c r="T1" s="180"/>
    </row>
    <row r="2" spans="1:21" ht="18" customHeight="1" thickTop="1">
      <c r="A2" s="9">
        <v>1</v>
      </c>
      <c r="B2" s="18" t="s">
        <v>26</v>
      </c>
      <c r="C2" s="61"/>
      <c r="D2" s="77"/>
      <c r="E2" s="10" t="str">
        <f>IF(Anmeldung!B16=" / ",CONCATENATE("Gruppe A Team #",Anmeldung!A16),Anmeldung!B16)</f>
        <v>Team 1, Gruppe A</v>
      </c>
      <c r="F2" s="10" t="s">
        <v>12</v>
      </c>
      <c r="G2" s="10" t="str">
        <f>IF(Anmeldung!B21="/",CONCATENATE("Gruppe A Team #",Anmeldung!A21),Anmeldung!B21)</f>
        <v>Team 6, Gruppe A</v>
      </c>
      <c r="H2" s="153">
        <f aca="true" t="shared" si="0" ref="H2:H31">IF(L2=N2,"",SUM(IF(L2&gt;N2,1,0),IF(O2&gt;Q2,1,0),IF(R2&lt;=T2,0,1)))</f>
      </c>
      <c r="I2" s="154" t="s">
        <v>17</v>
      </c>
      <c r="J2" s="155">
        <f aca="true" t="shared" si="1" ref="J2:J31">IF(L2=N2,"",SUM(IF(L2&lt;N2,1,0),IF(O2&lt;Q2,1,0),IF(R2&gt;=T2,0,1)))</f>
      </c>
      <c r="K2" s="156">
        <f aca="true" t="shared" si="2" ref="K2:K31">SUM(V2-U2)</f>
        <v>0</v>
      </c>
      <c r="L2" s="78"/>
      <c r="M2" s="22" t="s">
        <v>17</v>
      </c>
      <c r="N2" s="85"/>
      <c r="O2" s="157"/>
      <c r="P2" s="22" t="s">
        <v>17</v>
      </c>
      <c r="Q2" s="158"/>
      <c r="R2" s="159"/>
      <c r="S2" s="154" t="s">
        <v>17</v>
      </c>
      <c r="T2" s="160"/>
      <c r="U2"/>
    </row>
    <row r="3" spans="1:26" s="20" customFormat="1" ht="18" customHeight="1" thickBot="1">
      <c r="A3" s="9">
        <f>SUM(A2,1)</f>
        <v>2</v>
      </c>
      <c r="B3" s="18" t="s">
        <v>27</v>
      </c>
      <c r="C3" s="61"/>
      <c r="D3" s="62"/>
      <c r="E3" s="10" t="str">
        <f>IF(Anmeldung!D16=" / ",CONCATENATE("Gruppe B Team #",Anmeldung!A16),Anmeldung!D16)</f>
        <v>Team 1, Gruppe B</v>
      </c>
      <c r="F3" s="10" t="s">
        <v>12</v>
      </c>
      <c r="G3" s="10" t="str">
        <f>IF(Anmeldung!D21="/",CONCATENATE("Gruppe B Team #",Anmeldung!A21),Anmeldung!D21)</f>
        <v>Team 6, Gruppe B</v>
      </c>
      <c r="H3" s="84">
        <f t="shared" si="0"/>
      </c>
      <c r="I3" s="41" t="s">
        <v>17</v>
      </c>
      <c r="J3" s="82">
        <f t="shared" si="1"/>
      </c>
      <c r="K3" s="83">
        <f t="shared" si="2"/>
        <v>0</v>
      </c>
      <c r="L3" s="78"/>
      <c r="M3" s="22" t="s">
        <v>17</v>
      </c>
      <c r="N3" s="85"/>
      <c r="O3" s="42"/>
      <c r="P3" s="10" t="s">
        <v>17</v>
      </c>
      <c r="Q3" s="43"/>
      <c r="R3" s="86"/>
      <c r="S3" s="41" t="s">
        <v>17</v>
      </c>
      <c r="T3" s="80"/>
      <c r="U3" s="19"/>
      <c r="V3" s="21"/>
      <c r="W3" s="21"/>
      <c r="X3" s="21"/>
      <c r="Y3" s="21"/>
      <c r="Z3" s="21"/>
    </row>
    <row r="4" spans="1:21" ht="18" customHeight="1">
      <c r="A4" s="9">
        <f aca="true" t="shared" si="3" ref="A4:A31">SUM(A3,1)</f>
        <v>3</v>
      </c>
      <c r="B4" s="18" t="s">
        <v>26</v>
      </c>
      <c r="C4" s="61"/>
      <c r="D4" s="77"/>
      <c r="E4" s="10" t="str">
        <f>IF(Anmeldung!$B$17="/",CONCATENATE("Gruppe A Team #",Anmeldung!$A$17),Anmeldung!$B$17)</f>
        <v>Team 2, Gruppe A</v>
      </c>
      <c r="F4" s="10" t="s">
        <v>12</v>
      </c>
      <c r="G4" s="10" t="str">
        <f>IF(Anmeldung!$B$19="/",CONCATENATE("Gruppe A Team #",Anmeldung!$A$19),Anmeldung!$B$19)</f>
        <v>Team 4, Gruppe A</v>
      </c>
      <c r="H4" s="84">
        <f t="shared" si="0"/>
      </c>
      <c r="I4" s="41" t="s">
        <v>17</v>
      </c>
      <c r="J4" s="82">
        <f t="shared" si="1"/>
      </c>
      <c r="K4" s="83">
        <f t="shared" si="2"/>
        <v>0</v>
      </c>
      <c r="L4" s="78"/>
      <c r="M4" s="22" t="s">
        <v>17</v>
      </c>
      <c r="N4" s="85"/>
      <c r="O4" s="42"/>
      <c r="P4" s="10" t="s">
        <v>17</v>
      </c>
      <c r="Q4" s="43"/>
      <c r="R4" s="86"/>
      <c r="S4" s="41" t="s">
        <v>17</v>
      </c>
      <c r="T4" s="80"/>
      <c r="U4"/>
    </row>
    <row r="5" spans="1:21" ht="18" customHeight="1">
      <c r="A5" s="9">
        <f t="shared" si="3"/>
        <v>4</v>
      </c>
      <c r="B5" s="18" t="s">
        <v>27</v>
      </c>
      <c r="C5" s="61"/>
      <c r="D5" s="62"/>
      <c r="E5" s="10" t="str">
        <f>IF(Anmeldung!$D$17="/",CONCATENATE("Gruppe B Team #",Anmeldung!$A$17),Anmeldung!$D$17)</f>
        <v>Team 2, Gruppe B</v>
      </c>
      <c r="F5" s="10" t="s">
        <v>12</v>
      </c>
      <c r="G5" s="10" t="str">
        <f>IF(Anmeldung!$D$19="/",CONCATENATE("Gruppe B Team #",Anmeldung!$A$19),Anmeldung!$D$19)</f>
        <v>Team 4, Gruppe B</v>
      </c>
      <c r="H5" s="84">
        <f t="shared" si="0"/>
      </c>
      <c r="I5" s="41" t="s">
        <v>17</v>
      </c>
      <c r="J5" s="82">
        <f t="shared" si="1"/>
      </c>
      <c r="K5" s="83">
        <f t="shared" si="2"/>
        <v>0</v>
      </c>
      <c r="L5" s="78"/>
      <c r="M5" s="22" t="s">
        <v>17</v>
      </c>
      <c r="N5" s="85"/>
      <c r="O5" s="42"/>
      <c r="P5" s="10" t="s">
        <v>17</v>
      </c>
      <c r="Q5" s="43"/>
      <c r="R5" s="86"/>
      <c r="S5" s="41" t="s">
        <v>17</v>
      </c>
      <c r="T5" s="80"/>
      <c r="U5"/>
    </row>
    <row r="6" spans="1:21" ht="18" customHeight="1">
      <c r="A6" s="9">
        <f t="shared" si="3"/>
        <v>5</v>
      </c>
      <c r="B6" s="18" t="s">
        <v>26</v>
      </c>
      <c r="C6" s="61"/>
      <c r="D6" s="77"/>
      <c r="E6" s="10" t="str">
        <f>IF(Anmeldung!B18="/",CONCATENATE("Gruppe A Team #",Anmeldung!A18),Anmeldung!B18)</f>
        <v>Team 3, Gruppe A</v>
      </c>
      <c r="F6" s="10" t="s">
        <v>12</v>
      </c>
      <c r="G6" s="10" t="str">
        <f>IF(Anmeldung!$B$20=" / ",CONCATENATE("Gruppe A Team #",Anmeldung!$A$20),Anmeldung!$B$20)</f>
        <v>Team 5, Gruppe A</v>
      </c>
      <c r="H6" s="84">
        <f t="shared" si="0"/>
      </c>
      <c r="I6" s="41" t="s">
        <v>17</v>
      </c>
      <c r="J6" s="82">
        <f t="shared" si="1"/>
      </c>
      <c r="K6" s="83">
        <f t="shared" si="2"/>
        <v>0</v>
      </c>
      <c r="L6" s="78"/>
      <c r="M6" s="22" t="s">
        <v>17</v>
      </c>
      <c r="N6" s="85"/>
      <c r="O6" s="42"/>
      <c r="P6" s="10" t="s">
        <v>17</v>
      </c>
      <c r="Q6" s="43"/>
      <c r="R6" s="86"/>
      <c r="S6" s="41" t="s">
        <v>17</v>
      </c>
      <c r="T6" s="80"/>
      <c r="U6"/>
    </row>
    <row r="7" spans="1:21" ht="18" customHeight="1">
      <c r="A7" s="9">
        <f t="shared" si="3"/>
        <v>6</v>
      </c>
      <c r="B7" s="18" t="s">
        <v>27</v>
      </c>
      <c r="C7" s="61"/>
      <c r="D7" s="62"/>
      <c r="E7" s="10" t="str">
        <f>IF(Anmeldung!D18="/",CONCATENATE("Gruppe B Team #",Anmeldung!A18),Anmeldung!D18)</f>
        <v>Team 3, Gruppe B</v>
      </c>
      <c r="F7" s="10" t="s">
        <v>12</v>
      </c>
      <c r="G7" s="10" t="str">
        <f>IF(Anmeldung!$D$20=" / ",CONCATENATE("Gruppe B Team #",Anmeldung!$A$20),Anmeldung!$D$20)</f>
        <v>Team 5, Gruppe B</v>
      </c>
      <c r="H7" s="84">
        <f t="shared" si="0"/>
      </c>
      <c r="I7" s="41" t="s">
        <v>17</v>
      </c>
      <c r="J7" s="82">
        <f t="shared" si="1"/>
      </c>
      <c r="K7" s="83">
        <f t="shared" si="2"/>
        <v>0</v>
      </c>
      <c r="L7" s="78"/>
      <c r="M7" s="22" t="s">
        <v>17</v>
      </c>
      <c r="N7" s="85"/>
      <c r="O7" s="42"/>
      <c r="P7" s="10" t="s">
        <v>17</v>
      </c>
      <c r="Q7" s="43"/>
      <c r="R7" s="86"/>
      <c r="S7" s="41" t="s">
        <v>17</v>
      </c>
      <c r="T7" s="80"/>
      <c r="U7"/>
    </row>
    <row r="8" spans="1:21" ht="18" customHeight="1">
      <c r="A8" s="9">
        <f t="shared" si="3"/>
        <v>7</v>
      </c>
      <c r="B8" s="18" t="s">
        <v>26</v>
      </c>
      <c r="C8" s="61"/>
      <c r="D8" s="77"/>
      <c r="E8" s="10" t="str">
        <f>IF(Anmeldung!$B$19="/",CONCATENATE("Gruppe A Team #",Anmeldung!$A$19),Anmeldung!$B$19)</f>
        <v>Team 4, Gruppe A</v>
      </c>
      <c r="F8" s="10" t="s">
        <v>12</v>
      </c>
      <c r="G8" s="10" t="str">
        <f>IF(Anmeldung!B21="/",CONCATENATE("Gruppe A Team #",Anmeldung!A21),Anmeldung!B21)</f>
        <v>Team 6, Gruppe A</v>
      </c>
      <c r="H8" s="84">
        <f t="shared" si="0"/>
      </c>
      <c r="I8" s="41" t="s">
        <v>17</v>
      </c>
      <c r="J8" s="82">
        <f t="shared" si="1"/>
      </c>
      <c r="K8" s="83">
        <f t="shared" si="2"/>
        <v>0</v>
      </c>
      <c r="L8" s="78"/>
      <c r="M8" s="22" t="s">
        <v>17</v>
      </c>
      <c r="N8" s="85"/>
      <c r="O8" s="42"/>
      <c r="P8" s="10" t="s">
        <v>17</v>
      </c>
      <c r="Q8" s="43"/>
      <c r="R8" s="86"/>
      <c r="S8" s="41" t="s">
        <v>17</v>
      </c>
      <c r="T8" s="80"/>
      <c r="U8"/>
    </row>
    <row r="9" spans="1:21" ht="18" customHeight="1">
      <c r="A9" s="9">
        <f t="shared" si="3"/>
        <v>8</v>
      </c>
      <c r="B9" s="18" t="s">
        <v>27</v>
      </c>
      <c r="C9" s="61"/>
      <c r="D9" s="62"/>
      <c r="E9" s="10" t="str">
        <f>IF(Anmeldung!$D$19="/",CONCATENATE("Gruppe B Team #",Anmeldung!$A$19),Anmeldung!$D$19)</f>
        <v>Team 4, Gruppe B</v>
      </c>
      <c r="F9" s="10" t="s">
        <v>12</v>
      </c>
      <c r="G9" s="10" t="str">
        <f>IF(Anmeldung!D21="/",CONCATENATE("Gruppe B Team #",Anmeldung!A21),Anmeldung!D21)</f>
        <v>Team 6, Gruppe B</v>
      </c>
      <c r="H9" s="84">
        <f t="shared" si="0"/>
      </c>
      <c r="I9" s="41" t="s">
        <v>17</v>
      </c>
      <c r="J9" s="82">
        <f t="shared" si="1"/>
      </c>
      <c r="K9" s="83">
        <f t="shared" si="2"/>
        <v>0</v>
      </c>
      <c r="L9" s="79"/>
      <c r="M9" s="10" t="s">
        <v>17</v>
      </c>
      <c r="N9" s="87"/>
      <c r="O9" s="42"/>
      <c r="P9" s="10" t="s">
        <v>17</v>
      </c>
      <c r="Q9" s="43"/>
      <c r="R9" s="86"/>
      <c r="S9" s="41" t="s">
        <v>17</v>
      </c>
      <c r="T9" s="80"/>
      <c r="U9"/>
    </row>
    <row r="10" spans="1:21" ht="18" customHeight="1">
      <c r="A10" s="9">
        <f t="shared" si="3"/>
        <v>9</v>
      </c>
      <c r="B10" s="18" t="s">
        <v>26</v>
      </c>
      <c r="C10" s="61"/>
      <c r="D10" s="77"/>
      <c r="E10" s="10" t="str">
        <f>IF(Anmeldung!B16=" / ",CONCATENATE("Gruppe A Team #",Anmeldung!A16),Anmeldung!B16)</f>
        <v>Team 1, Gruppe A</v>
      </c>
      <c r="F10" s="10" t="s">
        <v>12</v>
      </c>
      <c r="G10" s="10" t="str">
        <f>IF(Anmeldung!$B$20=" / ",CONCATENATE("Gruppe A Team #",Anmeldung!$A$20),Anmeldung!$B$20)</f>
        <v>Team 5, Gruppe A</v>
      </c>
      <c r="H10" s="84">
        <f t="shared" si="0"/>
      </c>
      <c r="I10" s="41" t="s">
        <v>17</v>
      </c>
      <c r="J10" s="82">
        <f t="shared" si="1"/>
      </c>
      <c r="K10" s="83">
        <f t="shared" si="2"/>
        <v>0</v>
      </c>
      <c r="L10" s="78"/>
      <c r="M10" s="22" t="s">
        <v>17</v>
      </c>
      <c r="N10" s="85"/>
      <c r="O10" s="42"/>
      <c r="P10" s="10" t="s">
        <v>17</v>
      </c>
      <c r="Q10" s="43"/>
      <c r="R10" s="86"/>
      <c r="S10" s="41" t="s">
        <v>17</v>
      </c>
      <c r="T10" s="80"/>
      <c r="U10"/>
    </row>
    <row r="11" spans="1:21" ht="18" customHeight="1">
      <c r="A11" s="9">
        <f t="shared" si="3"/>
        <v>10</v>
      </c>
      <c r="B11" s="18" t="s">
        <v>27</v>
      </c>
      <c r="C11" s="61"/>
      <c r="D11" s="62"/>
      <c r="E11" s="10" t="str">
        <f>IF(Anmeldung!D16=" / ",CONCATENATE("Gruppe B Team #",Anmeldung!A16),Anmeldung!D16)</f>
        <v>Team 1, Gruppe B</v>
      </c>
      <c r="F11" s="10" t="s">
        <v>12</v>
      </c>
      <c r="G11" s="10" t="str">
        <f>IF(Anmeldung!$D$20=" / ",CONCATENATE("Gruppe B Team #",Anmeldung!$A$20),Anmeldung!$D$20)</f>
        <v>Team 5, Gruppe B</v>
      </c>
      <c r="H11" s="84">
        <f t="shared" si="0"/>
      </c>
      <c r="I11" s="41" t="s">
        <v>17</v>
      </c>
      <c r="J11" s="82">
        <f t="shared" si="1"/>
      </c>
      <c r="K11" s="83">
        <f t="shared" si="2"/>
        <v>0</v>
      </c>
      <c r="L11" s="78"/>
      <c r="M11" s="22" t="s">
        <v>17</v>
      </c>
      <c r="N11" s="85"/>
      <c r="O11" s="42"/>
      <c r="P11" s="10" t="s">
        <v>17</v>
      </c>
      <c r="Q11" s="43"/>
      <c r="R11" s="86"/>
      <c r="S11" s="41" t="s">
        <v>17</v>
      </c>
      <c r="T11" s="80"/>
      <c r="U11"/>
    </row>
    <row r="12" spans="1:21" ht="18" customHeight="1">
      <c r="A12" s="9">
        <f t="shared" si="3"/>
        <v>11</v>
      </c>
      <c r="B12" s="18" t="s">
        <v>26</v>
      </c>
      <c r="C12" s="63"/>
      <c r="D12" s="77"/>
      <c r="E12" s="10" t="str">
        <f>IF(Anmeldung!$B$17="/",CONCATENATE("Gruppe A Team #",Anmeldung!$A$17),Anmeldung!$B$17)</f>
        <v>Team 2, Gruppe A</v>
      </c>
      <c r="F12" s="22" t="s">
        <v>12</v>
      </c>
      <c r="G12" s="22" t="str">
        <f>IF(Anmeldung!B18="/",CONCATENATE("Gruppe A Team #",Anmeldung!A18),Anmeldung!B18)</f>
        <v>Team 3, Gruppe A</v>
      </c>
      <c r="H12" s="84">
        <f t="shared" si="0"/>
      </c>
      <c r="I12" s="41" t="s">
        <v>17</v>
      </c>
      <c r="J12" s="82">
        <f t="shared" si="1"/>
      </c>
      <c r="K12" s="83">
        <f t="shared" si="2"/>
        <v>0</v>
      </c>
      <c r="L12" s="79"/>
      <c r="M12" s="10" t="s">
        <v>17</v>
      </c>
      <c r="N12" s="87"/>
      <c r="O12" s="42"/>
      <c r="P12" s="10" t="s">
        <v>17</v>
      </c>
      <c r="Q12" s="43"/>
      <c r="R12" s="86"/>
      <c r="S12" s="41" t="s">
        <v>17</v>
      </c>
      <c r="T12" s="80"/>
      <c r="U12"/>
    </row>
    <row r="13" spans="1:26" s="20" customFormat="1" ht="18" customHeight="1" thickBot="1">
      <c r="A13" s="9">
        <f t="shared" si="3"/>
        <v>12</v>
      </c>
      <c r="B13" s="18" t="s">
        <v>27</v>
      </c>
      <c r="C13" s="61"/>
      <c r="D13" s="62"/>
      <c r="E13" s="10" t="str">
        <f>IF(Anmeldung!$D$17="/",CONCATENATE("Gruppe B Team #",Anmeldung!$A$17),Anmeldung!$D$17)</f>
        <v>Team 2, Gruppe B</v>
      </c>
      <c r="F13" s="10" t="s">
        <v>12</v>
      </c>
      <c r="G13" s="10" t="str">
        <f>IF(Anmeldung!D18="/",CONCATENATE("Gruppe B Team #",Anmeldung!A18),Anmeldung!D18)</f>
        <v>Team 3, Gruppe B</v>
      </c>
      <c r="H13" s="84">
        <f t="shared" si="0"/>
      </c>
      <c r="I13" s="41" t="s">
        <v>17</v>
      </c>
      <c r="J13" s="82">
        <f t="shared" si="1"/>
      </c>
      <c r="K13" s="83">
        <f t="shared" si="2"/>
        <v>0</v>
      </c>
      <c r="L13" s="78"/>
      <c r="M13" s="22" t="s">
        <v>17</v>
      </c>
      <c r="N13" s="85"/>
      <c r="O13" s="42"/>
      <c r="P13" s="10" t="s">
        <v>17</v>
      </c>
      <c r="Q13" s="43"/>
      <c r="R13" s="86"/>
      <c r="S13" s="41" t="s">
        <v>17</v>
      </c>
      <c r="T13" s="80"/>
      <c r="U13" s="19"/>
      <c r="V13" s="21"/>
      <c r="W13" s="21"/>
      <c r="X13" s="21"/>
      <c r="Y13" s="21"/>
      <c r="Z13" s="21"/>
    </row>
    <row r="14" spans="1:21" ht="18" customHeight="1">
      <c r="A14" s="9">
        <f t="shared" si="3"/>
        <v>13</v>
      </c>
      <c r="B14" s="18" t="s">
        <v>26</v>
      </c>
      <c r="C14" s="61"/>
      <c r="D14" s="77"/>
      <c r="E14" s="10" t="str">
        <f>IF(Anmeldung!B16=" / ",CONCATENATE("Gruppe A Team #",Anmeldung!A16),Anmeldung!B16)</f>
        <v>Team 1, Gruppe A</v>
      </c>
      <c r="F14" s="10" t="s">
        <v>12</v>
      </c>
      <c r="G14" s="10" t="str">
        <f>IF(Anmeldung!$B$19="/",CONCATENATE("Gruppe A Team #",Anmeldung!$A$19),Anmeldung!$B$19)</f>
        <v>Team 4, Gruppe A</v>
      </c>
      <c r="H14" s="84">
        <f t="shared" si="0"/>
      </c>
      <c r="I14" s="41" t="s">
        <v>17</v>
      </c>
      <c r="J14" s="82">
        <f t="shared" si="1"/>
      </c>
      <c r="K14" s="83">
        <f t="shared" si="2"/>
        <v>0</v>
      </c>
      <c r="L14" s="78"/>
      <c r="M14" s="22" t="s">
        <v>17</v>
      </c>
      <c r="N14" s="85"/>
      <c r="O14" s="42"/>
      <c r="P14" s="10" t="s">
        <v>17</v>
      </c>
      <c r="Q14" s="43"/>
      <c r="R14" s="86"/>
      <c r="S14" s="41" t="s">
        <v>17</v>
      </c>
      <c r="T14" s="80"/>
      <c r="U14"/>
    </row>
    <row r="15" spans="1:26" s="20" customFormat="1" ht="18" customHeight="1" thickBot="1">
      <c r="A15" s="9">
        <f t="shared" si="3"/>
        <v>14</v>
      </c>
      <c r="B15" s="18" t="s">
        <v>27</v>
      </c>
      <c r="C15" s="61"/>
      <c r="D15" s="62"/>
      <c r="E15" s="10" t="str">
        <f>IF(Anmeldung!D16=" / ",CONCATENATE("Gruppe B Team #",Anmeldung!A16),Anmeldung!D16)</f>
        <v>Team 1, Gruppe B</v>
      </c>
      <c r="F15" s="10" t="s">
        <v>12</v>
      </c>
      <c r="G15" s="10" t="str">
        <f>IF(Anmeldung!$D$19="/",CONCATENATE("Gruppe B Team #",Anmeldung!$A$19),Anmeldung!$D$19)</f>
        <v>Team 4, Gruppe B</v>
      </c>
      <c r="H15" s="84">
        <f t="shared" si="0"/>
      </c>
      <c r="I15" s="41" t="s">
        <v>17</v>
      </c>
      <c r="J15" s="82">
        <f t="shared" si="1"/>
      </c>
      <c r="K15" s="83">
        <f t="shared" si="2"/>
        <v>0</v>
      </c>
      <c r="L15" s="78"/>
      <c r="M15" s="22" t="s">
        <v>17</v>
      </c>
      <c r="N15" s="85"/>
      <c r="O15" s="42"/>
      <c r="P15" s="10" t="s">
        <v>17</v>
      </c>
      <c r="Q15" s="43"/>
      <c r="R15" s="86"/>
      <c r="S15" s="41" t="s">
        <v>17</v>
      </c>
      <c r="T15" s="80"/>
      <c r="U15" s="19"/>
      <c r="V15" s="21"/>
      <c r="W15" s="21"/>
      <c r="X15" s="21"/>
      <c r="Y15" s="21"/>
      <c r="Z15" s="21"/>
    </row>
    <row r="16" spans="1:21" ht="18" customHeight="1">
      <c r="A16" s="9">
        <f t="shared" si="3"/>
        <v>15</v>
      </c>
      <c r="B16" s="18" t="s">
        <v>26</v>
      </c>
      <c r="C16" s="61"/>
      <c r="D16" s="77"/>
      <c r="E16" s="10" t="str">
        <f>IF(Anmeldung!$B$17="/",CONCATENATE("Gruppe A Team #",Anmeldung!$A$17),Anmeldung!$B$17)</f>
        <v>Team 2, Gruppe A</v>
      </c>
      <c r="F16" s="10" t="s">
        <v>12</v>
      </c>
      <c r="G16" s="10" t="str">
        <f>IF(Anmeldung!$B$20=" / ",CONCATENATE("Gruppe A Team #",Anmeldung!$A$20),Anmeldung!$B$20)</f>
        <v>Team 5, Gruppe A</v>
      </c>
      <c r="H16" s="84">
        <f t="shared" si="0"/>
      </c>
      <c r="I16" s="41" t="s">
        <v>17</v>
      </c>
      <c r="J16" s="82">
        <f t="shared" si="1"/>
      </c>
      <c r="K16" s="83">
        <f t="shared" si="2"/>
        <v>0</v>
      </c>
      <c r="L16" s="78"/>
      <c r="M16" s="22" t="s">
        <v>17</v>
      </c>
      <c r="N16" s="85"/>
      <c r="O16" s="42"/>
      <c r="P16" s="10" t="s">
        <v>17</v>
      </c>
      <c r="Q16" s="43"/>
      <c r="R16" s="86"/>
      <c r="S16" s="41" t="s">
        <v>17</v>
      </c>
      <c r="T16" s="80"/>
      <c r="U16"/>
    </row>
    <row r="17" spans="1:21" ht="18" customHeight="1">
      <c r="A17" s="9">
        <f t="shared" si="3"/>
        <v>16</v>
      </c>
      <c r="B17" s="18" t="s">
        <v>27</v>
      </c>
      <c r="C17" s="61"/>
      <c r="D17" s="62"/>
      <c r="E17" s="10" t="str">
        <f>IF(Anmeldung!$D$17="/",CONCATENATE("Gruppe B Team #",Anmeldung!$A$17),Anmeldung!$D$17)</f>
        <v>Team 2, Gruppe B</v>
      </c>
      <c r="F17" s="10" t="s">
        <v>12</v>
      </c>
      <c r="G17" s="10" t="str">
        <f>IF(Anmeldung!$D$20=" / ",CONCATENATE("Gruppe B Team #",Anmeldung!$A$20),Anmeldung!$D$20)</f>
        <v>Team 5, Gruppe B</v>
      </c>
      <c r="H17" s="84">
        <f t="shared" si="0"/>
      </c>
      <c r="I17" s="41" t="s">
        <v>17</v>
      </c>
      <c r="J17" s="82">
        <f t="shared" si="1"/>
      </c>
      <c r="K17" s="83">
        <f t="shared" si="2"/>
        <v>0</v>
      </c>
      <c r="L17" s="78"/>
      <c r="M17" s="22" t="s">
        <v>17</v>
      </c>
      <c r="N17" s="85"/>
      <c r="O17" s="42"/>
      <c r="P17" s="10" t="s">
        <v>17</v>
      </c>
      <c r="Q17" s="43"/>
      <c r="R17" s="86"/>
      <c r="S17" s="41" t="s">
        <v>17</v>
      </c>
      <c r="T17" s="80"/>
      <c r="U17"/>
    </row>
    <row r="18" spans="1:21" ht="18" customHeight="1">
      <c r="A18" s="9">
        <f t="shared" si="3"/>
        <v>17</v>
      </c>
      <c r="B18" s="18" t="s">
        <v>26</v>
      </c>
      <c r="C18" s="61"/>
      <c r="D18" s="77"/>
      <c r="E18" s="10" t="str">
        <f>IF(Anmeldung!B18="/",CONCATENATE("Gruppe A Team #",Anmeldung!A18),Anmeldung!B18)</f>
        <v>Team 3, Gruppe A</v>
      </c>
      <c r="F18" s="10" t="s">
        <v>12</v>
      </c>
      <c r="G18" s="10" t="str">
        <f>IF(Anmeldung!B21="/",CONCATENATE("Gruppe A Team #",Anmeldung!A21),Anmeldung!B21)</f>
        <v>Team 6, Gruppe A</v>
      </c>
      <c r="H18" s="84">
        <f t="shared" si="0"/>
      </c>
      <c r="I18" s="41" t="s">
        <v>17</v>
      </c>
      <c r="J18" s="82">
        <f t="shared" si="1"/>
      </c>
      <c r="K18" s="83">
        <f t="shared" si="2"/>
        <v>0</v>
      </c>
      <c r="L18" s="78"/>
      <c r="M18" s="22" t="s">
        <v>17</v>
      </c>
      <c r="N18" s="85"/>
      <c r="O18" s="42"/>
      <c r="P18" s="10" t="s">
        <v>17</v>
      </c>
      <c r="Q18" s="43"/>
      <c r="R18" s="86"/>
      <c r="S18" s="41" t="s">
        <v>17</v>
      </c>
      <c r="T18" s="80"/>
      <c r="U18"/>
    </row>
    <row r="19" spans="1:21" ht="18" customHeight="1">
      <c r="A19" s="9">
        <f t="shared" si="3"/>
        <v>18</v>
      </c>
      <c r="B19" s="18" t="s">
        <v>27</v>
      </c>
      <c r="C19" s="61"/>
      <c r="D19" s="62"/>
      <c r="E19" s="10" t="str">
        <f>IF(Anmeldung!D18="/",CONCATENATE("Gruppe B Team #",Anmeldung!A18),Anmeldung!D18)</f>
        <v>Team 3, Gruppe B</v>
      </c>
      <c r="F19" s="10" t="s">
        <v>12</v>
      </c>
      <c r="G19" s="10" t="str">
        <f>IF(Anmeldung!D21="/",CONCATENATE("Gruppe B Team #",Anmeldung!A21),Anmeldung!D21)</f>
        <v>Team 6, Gruppe B</v>
      </c>
      <c r="H19" s="84">
        <f t="shared" si="0"/>
      </c>
      <c r="I19" s="41" t="s">
        <v>17</v>
      </c>
      <c r="J19" s="82">
        <f t="shared" si="1"/>
      </c>
      <c r="K19" s="83">
        <f t="shared" si="2"/>
        <v>0</v>
      </c>
      <c r="L19" s="78"/>
      <c r="M19" s="22" t="s">
        <v>17</v>
      </c>
      <c r="N19" s="85"/>
      <c r="O19" s="42"/>
      <c r="P19" s="10" t="s">
        <v>17</v>
      </c>
      <c r="Q19" s="43"/>
      <c r="R19" s="86"/>
      <c r="S19" s="41" t="s">
        <v>17</v>
      </c>
      <c r="T19" s="80"/>
      <c r="U19"/>
    </row>
    <row r="20" spans="1:21" ht="18" customHeight="1">
      <c r="A20" s="9">
        <f t="shared" si="3"/>
        <v>19</v>
      </c>
      <c r="B20" s="18" t="s">
        <v>26</v>
      </c>
      <c r="C20" s="61"/>
      <c r="D20" s="77"/>
      <c r="E20" s="10" t="str">
        <f>IF(Anmeldung!$B$19="/",CONCATENATE("Gruppe A Team #",Anmeldung!$A$19),Anmeldung!$B$19)</f>
        <v>Team 4, Gruppe A</v>
      </c>
      <c r="F20" s="10" t="s">
        <v>12</v>
      </c>
      <c r="G20" s="10" t="str">
        <f>IF(Anmeldung!$B$20=" / ",CONCATENATE("Gruppe A Team #",Anmeldung!$A$20),Anmeldung!$B$20)</f>
        <v>Team 5, Gruppe A</v>
      </c>
      <c r="H20" s="84">
        <f t="shared" si="0"/>
      </c>
      <c r="I20" s="41" t="s">
        <v>17</v>
      </c>
      <c r="J20" s="82">
        <f t="shared" si="1"/>
      </c>
      <c r="K20" s="83">
        <f t="shared" si="2"/>
        <v>0</v>
      </c>
      <c r="L20" s="78"/>
      <c r="M20" s="22" t="s">
        <v>17</v>
      </c>
      <c r="N20" s="85"/>
      <c r="O20" s="42"/>
      <c r="P20" s="10" t="s">
        <v>17</v>
      </c>
      <c r="Q20" s="43"/>
      <c r="R20" s="86"/>
      <c r="S20" s="41" t="s">
        <v>17</v>
      </c>
      <c r="T20" s="80"/>
      <c r="U20"/>
    </row>
    <row r="21" spans="1:21" ht="18" customHeight="1">
      <c r="A21" s="9">
        <f t="shared" si="3"/>
        <v>20</v>
      </c>
      <c r="B21" s="18" t="s">
        <v>27</v>
      </c>
      <c r="C21" s="61"/>
      <c r="D21" s="62"/>
      <c r="E21" s="10" t="str">
        <f>IF(Anmeldung!$D$19="/",CONCATENATE("Gruppe B Team #",Anmeldung!$A$19),Anmeldung!$D$19)</f>
        <v>Team 4, Gruppe B</v>
      </c>
      <c r="F21" s="10" t="s">
        <v>12</v>
      </c>
      <c r="G21" s="10" t="str">
        <f>IF(Anmeldung!$D$20=" / ",CONCATENATE("Gruppe B Team #",Anmeldung!$A$20),Anmeldung!$D$20)</f>
        <v>Team 5, Gruppe B</v>
      </c>
      <c r="H21" s="84">
        <f t="shared" si="0"/>
      </c>
      <c r="I21" s="41" t="s">
        <v>17</v>
      </c>
      <c r="J21" s="82">
        <f t="shared" si="1"/>
      </c>
      <c r="K21" s="83">
        <f t="shared" si="2"/>
        <v>0</v>
      </c>
      <c r="L21" s="78"/>
      <c r="M21" s="22" t="s">
        <v>17</v>
      </c>
      <c r="N21" s="85"/>
      <c r="O21" s="42"/>
      <c r="P21" s="10" t="s">
        <v>17</v>
      </c>
      <c r="Q21" s="43"/>
      <c r="R21" s="86"/>
      <c r="S21" s="41" t="s">
        <v>17</v>
      </c>
      <c r="T21" s="80"/>
      <c r="U21"/>
    </row>
    <row r="22" spans="1:21" ht="18" customHeight="1">
      <c r="A22" s="9">
        <f t="shared" si="3"/>
        <v>21</v>
      </c>
      <c r="B22" s="18" t="s">
        <v>26</v>
      </c>
      <c r="C22" s="61"/>
      <c r="D22" s="77"/>
      <c r="E22" s="10" t="str">
        <f>IF(Anmeldung!B16=" / ",CONCATENATE("Gruppe A Team #",Anmeldung!A16),Anmeldung!B16)</f>
        <v>Team 1, Gruppe A</v>
      </c>
      <c r="F22" s="10" t="s">
        <v>12</v>
      </c>
      <c r="G22" s="10" t="str">
        <f>IF(Anmeldung!B18="/",CONCATENATE("Gruppe A Team #",Anmeldung!A18),Anmeldung!B18)</f>
        <v>Team 3, Gruppe A</v>
      </c>
      <c r="H22" s="84">
        <f t="shared" si="0"/>
      </c>
      <c r="I22" s="41" t="s">
        <v>17</v>
      </c>
      <c r="J22" s="82">
        <f t="shared" si="1"/>
      </c>
      <c r="K22" s="83">
        <f t="shared" si="2"/>
        <v>0</v>
      </c>
      <c r="L22" s="78"/>
      <c r="M22" s="22" t="s">
        <v>17</v>
      </c>
      <c r="N22" s="85"/>
      <c r="O22" s="42"/>
      <c r="P22" s="10" t="s">
        <v>17</v>
      </c>
      <c r="Q22" s="43"/>
      <c r="R22" s="86"/>
      <c r="S22" s="41" t="s">
        <v>17</v>
      </c>
      <c r="T22" s="80"/>
      <c r="U22"/>
    </row>
    <row r="23" spans="1:21" ht="18" customHeight="1">
      <c r="A23" s="9">
        <f t="shared" si="3"/>
        <v>22</v>
      </c>
      <c r="B23" s="18" t="s">
        <v>27</v>
      </c>
      <c r="C23" s="61"/>
      <c r="D23" s="62"/>
      <c r="E23" s="10" t="str">
        <f>IF(Anmeldung!D16=" / ",CONCATENATE("Gruppe B Team #",Anmeldung!A16),Anmeldung!D16)</f>
        <v>Team 1, Gruppe B</v>
      </c>
      <c r="F23" s="10" t="s">
        <v>12</v>
      </c>
      <c r="G23" s="10" t="str">
        <f>IF(Anmeldung!D18="/",CONCATENATE("Gruppe B Team #",Anmeldung!A18),Anmeldung!D18)</f>
        <v>Team 3, Gruppe B</v>
      </c>
      <c r="H23" s="84">
        <f t="shared" si="0"/>
      </c>
      <c r="I23" s="41" t="s">
        <v>17</v>
      </c>
      <c r="J23" s="82">
        <f t="shared" si="1"/>
      </c>
      <c r="K23" s="83">
        <f t="shared" si="2"/>
        <v>0</v>
      </c>
      <c r="L23" s="78"/>
      <c r="M23" s="22" t="s">
        <v>17</v>
      </c>
      <c r="N23" s="85"/>
      <c r="O23" s="42"/>
      <c r="P23" s="10" t="s">
        <v>17</v>
      </c>
      <c r="Q23" s="43"/>
      <c r="R23" s="86"/>
      <c r="S23" s="41" t="s">
        <v>17</v>
      </c>
      <c r="T23" s="80"/>
      <c r="U23"/>
    </row>
    <row r="24" spans="1:21" ht="18" customHeight="1">
      <c r="A24" s="9">
        <f t="shared" si="3"/>
        <v>23</v>
      </c>
      <c r="B24" s="18" t="s">
        <v>26</v>
      </c>
      <c r="C24" s="61"/>
      <c r="D24" s="77"/>
      <c r="E24" s="10" t="str">
        <f>IF(Anmeldung!$B$17="/",CONCATENATE("Gruppe A Team #",Anmeldung!$A$17),Anmeldung!$B$17)</f>
        <v>Team 2, Gruppe A</v>
      </c>
      <c r="F24" s="10" t="s">
        <v>12</v>
      </c>
      <c r="G24" s="10" t="str">
        <f>IF(Anmeldung!B21="/",CONCATENATE("Gruppe A Team #",Anmeldung!A21),Anmeldung!B21)</f>
        <v>Team 6, Gruppe A</v>
      </c>
      <c r="H24" s="84">
        <f t="shared" si="0"/>
      </c>
      <c r="I24" s="41" t="s">
        <v>17</v>
      </c>
      <c r="J24" s="82">
        <f t="shared" si="1"/>
      </c>
      <c r="K24" s="83">
        <f t="shared" si="2"/>
        <v>0</v>
      </c>
      <c r="L24" s="78"/>
      <c r="M24" s="22" t="s">
        <v>17</v>
      </c>
      <c r="N24" s="85"/>
      <c r="O24" s="42"/>
      <c r="P24" s="10" t="s">
        <v>17</v>
      </c>
      <c r="Q24" s="43"/>
      <c r="R24" s="86"/>
      <c r="S24" s="41" t="s">
        <v>17</v>
      </c>
      <c r="T24" s="80"/>
      <c r="U24"/>
    </row>
    <row r="25" spans="1:21" ht="18" customHeight="1">
      <c r="A25" s="9">
        <f t="shared" si="3"/>
        <v>24</v>
      </c>
      <c r="B25" s="18" t="s">
        <v>27</v>
      </c>
      <c r="C25" s="61"/>
      <c r="D25" s="62"/>
      <c r="E25" s="10" t="str">
        <f>IF(Anmeldung!$D$17="/",CONCATENATE("Gruppe B Team #",Anmeldung!$A$17),Anmeldung!$D$17)</f>
        <v>Team 2, Gruppe B</v>
      </c>
      <c r="F25" s="10" t="s">
        <v>12</v>
      </c>
      <c r="G25" s="10" t="str">
        <f>IF(Anmeldung!D21="/",CONCATENATE("Gruppe B Team #",Anmeldung!A21),Anmeldung!D21)</f>
        <v>Team 6, Gruppe B</v>
      </c>
      <c r="H25" s="84">
        <f t="shared" si="0"/>
      </c>
      <c r="I25" s="41" t="s">
        <v>17</v>
      </c>
      <c r="J25" s="82">
        <f t="shared" si="1"/>
      </c>
      <c r="K25" s="83">
        <f t="shared" si="2"/>
        <v>0</v>
      </c>
      <c r="L25" s="78"/>
      <c r="M25" s="22" t="s">
        <v>17</v>
      </c>
      <c r="N25" s="85"/>
      <c r="O25" s="42"/>
      <c r="P25" s="10" t="s">
        <v>17</v>
      </c>
      <c r="Q25" s="43"/>
      <c r="R25" s="86"/>
      <c r="S25" s="41" t="s">
        <v>17</v>
      </c>
      <c r="T25" s="80"/>
      <c r="U25"/>
    </row>
    <row r="26" spans="1:21" ht="18" customHeight="1">
      <c r="A26" s="9">
        <f t="shared" si="3"/>
        <v>25</v>
      </c>
      <c r="B26" s="18" t="s">
        <v>26</v>
      </c>
      <c r="C26" s="61"/>
      <c r="D26" s="77"/>
      <c r="E26" s="10" t="str">
        <f>IF(Anmeldung!B18="/",CONCATENATE("Gruppe A Team #",Anmeldung!A18),Anmeldung!B18)</f>
        <v>Team 3, Gruppe A</v>
      </c>
      <c r="F26" s="10" t="s">
        <v>12</v>
      </c>
      <c r="G26" s="10" t="str">
        <f>IF(Anmeldung!B19="/",CONCATENATE("Gruppe A Team #",Anmeldung!A19),Anmeldung!B19)</f>
        <v>Team 4, Gruppe A</v>
      </c>
      <c r="H26" s="84">
        <f t="shared" si="0"/>
      </c>
      <c r="I26" s="41" t="s">
        <v>17</v>
      </c>
      <c r="J26" s="82">
        <f t="shared" si="1"/>
      </c>
      <c r="K26" s="83">
        <f t="shared" si="2"/>
        <v>0</v>
      </c>
      <c r="L26" s="78"/>
      <c r="M26" s="22" t="s">
        <v>17</v>
      </c>
      <c r="N26" s="85"/>
      <c r="O26" s="42"/>
      <c r="P26" s="10" t="s">
        <v>17</v>
      </c>
      <c r="Q26" s="43"/>
      <c r="R26" s="86"/>
      <c r="S26" s="41" t="s">
        <v>17</v>
      </c>
      <c r="T26" s="80"/>
      <c r="U26"/>
    </row>
    <row r="27" spans="1:21" ht="18" customHeight="1">
      <c r="A27" s="9">
        <f t="shared" si="3"/>
        <v>26</v>
      </c>
      <c r="B27" s="18" t="s">
        <v>27</v>
      </c>
      <c r="C27" s="61"/>
      <c r="D27" s="62"/>
      <c r="E27" s="10" t="str">
        <f>IF(Anmeldung!D18="/",CONCATENATE("Gruppe B Team #",Anmeldung!A18),Anmeldung!D18)</f>
        <v>Team 3, Gruppe B</v>
      </c>
      <c r="F27" s="10" t="s">
        <v>12</v>
      </c>
      <c r="G27" s="10" t="str">
        <f>IF(Anmeldung!D19="/",CONCATENATE("Gruppe B Team #",Anmeldung!A19),Anmeldung!D19)</f>
        <v>Team 4, Gruppe B</v>
      </c>
      <c r="H27" s="84">
        <f t="shared" si="0"/>
      </c>
      <c r="I27" s="41" t="s">
        <v>17</v>
      </c>
      <c r="J27" s="82">
        <f t="shared" si="1"/>
      </c>
      <c r="K27" s="83">
        <f t="shared" si="2"/>
        <v>0</v>
      </c>
      <c r="L27" s="78"/>
      <c r="M27" s="22" t="s">
        <v>17</v>
      </c>
      <c r="N27" s="85"/>
      <c r="O27" s="42"/>
      <c r="P27" s="10" t="s">
        <v>17</v>
      </c>
      <c r="Q27" s="43"/>
      <c r="R27" s="86"/>
      <c r="S27" s="41" t="s">
        <v>17</v>
      </c>
      <c r="T27" s="80"/>
      <c r="U27"/>
    </row>
    <row r="28" spans="1:21" ht="18" customHeight="1">
      <c r="A28" s="9">
        <f t="shared" si="3"/>
        <v>27</v>
      </c>
      <c r="B28" s="18" t="s">
        <v>26</v>
      </c>
      <c r="C28" s="63"/>
      <c r="D28" s="77"/>
      <c r="E28" s="22" t="str">
        <f>IF(Anmeldung!B16=" / ",CONCATENATE("Gruppe A Team #",Anmeldung!A16),Anmeldung!B16)</f>
        <v>Team 1, Gruppe A</v>
      </c>
      <c r="F28" s="22" t="s">
        <v>12</v>
      </c>
      <c r="G28" s="10" t="str">
        <f>IF(Anmeldung!$B$17="/",CONCATENATE("Gruppe A Team #",Anmeldung!$A$17),Anmeldung!$B$17)</f>
        <v>Team 2, Gruppe A</v>
      </c>
      <c r="H28" s="84">
        <f t="shared" si="0"/>
      </c>
      <c r="I28" s="41" t="s">
        <v>17</v>
      </c>
      <c r="J28" s="82">
        <f t="shared" si="1"/>
      </c>
      <c r="K28" s="83">
        <f t="shared" si="2"/>
        <v>0</v>
      </c>
      <c r="L28" s="78"/>
      <c r="M28" s="22" t="s">
        <v>17</v>
      </c>
      <c r="N28" s="85"/>
      <c r="O28" s="42"/>
      <c r="P28" s="10" t="s">
        <v>17</v>
      </c>
      <c r="Q28" s="43"/>
      <c r="R28" s="86"/>
      <c r="S28" s="41" t="s">
        <v>17</v>
      </c>
      <c r="T28" s="80"/>
      <c r="U28"/>
    </row>
    <row r="29" spans="1:21" ht="18" customHeight="1">
      <c r="A29" s="9">
        <f t="shared" si="3"/>
        <v>28</v>
      </c>
      <c r="B29" s="18" t="s">
        <v>27</v>
      </c>
      <c r="C29" s="61"/>
      <c r="D29" s="62"/>
      <c r="E29" s="10" t="str">
        <f>IF(Anmeldung!D16=" / ",CONCATENATE("Gruppe B Team #",Anmeldung!A16),Anmeldung!D16)</f>
        <v>Team 1, Gruppe B</v>
      </c>
      <c r="F29" s="10" t="s">
        <v>12</v>
      </c>
      <c r="G29" s="10" t="str">
        <f>IF(Anmeldung!$D$17="/",CONCATENATE("Gruppe B Team #",Anmeldung!$A$17),Anmeldung!$D$17)</f>
        <v>Team 2, Gruppe B</v>
      </c>
      <c r="H29" s="84">
        <f t="shared" si="0"/>
      </c>
      <c r="I29" s="41" t="s">
        <v>17</v>
      </c>
      <c r="J29" s="82">
        <f t="shared" si="1"/>
      </c>
      <c r="K29" s="83">
        <f t="shared" si="2"/>
        <v>0</v>
      </c>
      <c r="L29" s="78"/>
      <c r="M29" s="22" t="s">
        <v>17</v>
      </c>
      <c r="N29" s="85"/>
      <c r="O29" s="42"/>
      <c r="P29" s="10" t="s">
        <v>17</v>
      </c>
      <c r="Q29" s="43"/>
      <c r="R29" s="86"/>
      <c r="S29" s="41" t="s">
        <v>17</v>
      </c>
      <c r="T29" s="80"/>
      <c r="U29"/>
    </row>
    <row r="30" spans="1:21" ht="18" customHeight="1">
      <c r="A30" s="9">
        <f t="shared" si="3"/>
        <v>29</v>
      </c>
      <c r="B30" s="18" t="s">
        <v>26</v>
      </c>
      <c r="C30" s="61"/>
      <c r="D30" s="77"/>
      <c r="E30" s="10" t="str">
        <f>IF(Anmeldung!B20=" / ",CONCATENATE("Gruppe A Team #",Anmeldung!A20),Anmeldung!B20)</f>
        <v>Team 5, Gruppe A</v>
      </c>
      <c r="F30" s="10" t="s">
        <v>12</v>
      </c>
      <c r="G30" s="10" t="str">
        <f>IF(Anmeldung!B21="/",CONCATENATE("Gruppe A Team #",Anmeldung!A21),Anmeldung!B21)</f>
        <v>Team 6, Gruppe A</v>
      </c>
      <c r="H30" s="84">
        <f t="shared" si="0"/>
      </c>
      <c r="I30" s="41" t="s">
        <v>17</v>
      </c>
      <c r="J30" s="82">
        <f t="shared" si="1"/>
      </c>
      <c r="K30" s="83">
        <f t="shared" si="2"/>
        <v>0</v>
      </c>
      <c r="L30" s="78"/>
      <c r="M30" s="22" t="s">
        <v>17</v>
      </c>
      <c r="N30" s="85"/>
      <c r="O30" s="42"/>
      <c r="P30" s="10" t="s">
        <v>17</v>
      </c>
      <c r="Q30" s="43"/>
      <c r="R30" s="86"/>
      <c r="S30" s="41" t="s">
        <v>17</v>
      </c>
      <c r="T30" s="80"/>
      <c r="U30"/>
    </row>
    <row r="31" spans="1:26" s="20" customFormat="1" ht="18" customHeight="1" thickBot="1">
      <c r="A31" s="9">
        <f t="shared" si="3"/>
        <v>30</v>
      </c>
      <c r="B31" s="18" t="s">
        <v>27</v>
      </c>
      <c r="C31" s="61"/>
      <c r="D31" s="62"/>
      <c r="E31" s="10" t="str">
        <f>IF(Anmeldung!D20=" / ",CONCATENATE("Gruppe B Team #",Anmeldung!A20),Anmeldung!D20)</f>
        <v>Team 5, Gruppe B</v>
      </c>
      <c r="F31" s="10" t="s">
        <v>12</v>
      </c>
      <c r="G31" s="10" t="str">
        <f>IF(Anmeldung!D21="/",CONCATENATE("Gruppe B Team #",Anmeldung!A21),Anmeldung!D21)</f>
        <v>Team 6, Gruppe B</v>
      </c>
      <c r="H31" s="84">
        <f t="shared" si="0"/>
      </c>
      <c r="I31" s="41" t="s">
        <v>17</v>
      </c>
      <c r="J31" s="82">
        <f t="shared" si="1"/>
      </c>
      <c r="K31" s="83">
        <f t="shared" si="2"/>
        <v>0</v>
      </c>
      <c r="L31" s="78"/>
      <c r="M31" s="22" t="s">
        <v>17</v>
      </c>
      <c r="N31" s="85"/>
      <c r="O31" s="42"/>
      <c r="P31" s="10" t="s">
        <v>17</v>
      </c>
      <c r="Q31" s="43"/>
      <c r="R31" s="86"/>
      <c r="S31" s="41" t="s">
        <v>17</v>
      </c>
      <c r="T31" s="80"/>
      <c r="U31" s="19"/>
      <c r="V31" s="21"/>
      <c r="W31" s="21"/>
      <c r="X31" s="21"/>
      <c r="Y31" s="21"/>
      <c r="Z31" s="21"/>
    </row>
    <row r="33" spans="7:13" ht="15">
      <c r="G33" s="132"/>
      <c r="H33" s="132"/>
      <c r="I33" s="132"/>
      <c r="J33" s="132"/>
      <c r="K33" s="132"/>
      <c r="L33" s="132"/>
      <c r="M33" s="132"/>
    </row>
    <row r="34" spans="7:13" ht="15">
      <c r="G34" s="132"/>
      <c r="H34" s="132"/>
      <c r="I34" s="132"/>
      <c r="J34" s="132"/>
      <c r="K34" s="132"/>
      <c r="L34" s="132"/>
      <c r="M34" s="132"/>
    </row>
    <row r="35" spans="7:13" ht="15">
      <c r="G35" s="132"/>
      <c r="H35" s="132"/>
      <c r="I35" s="132"/>
      <c r="J35" s="132"/>
      <c r="K35" s="132"/>
      <c r="L35" s="132"/>
      <c r="M35" s="132"/>
    </row>
    <row r="36" spans="7:13" ht="15">
      <c r="G36" s="132"/>
      <c r="H36" s="132"/>
      <c r="I36" s="132"/>
      <c r="J36" s="132"/>
      <c r="K36" s="132"/>
      <c r="L36" s="132"/>
      <c r="M36" s="132"/>
    </row>
    <row r="37" spans="7:13" ht="15">
      <c r="G37" s="132"/>
      <c r="H37" s="132"/>
      <c r="I37" s="132"/>
      <c r="J37" s="132"/>
      <c r="K37" s="132"/>
      <c r="L37" s="132"/>
      <c r="M37" s="132"/>
    </row>
    <row r="38" spans="7:13" ht="15">
      <c r="G38" s="132"/>
      <c r="H38" s="132"/>
      <c r="I38" s="132"/>
      <c r="J38" s="132"/>
      <c r="K38" s="132"/>
      <c r="L38" s="132"/>
      <c r="M38" s="132"/>
    </row>
    <row r="39" spans="7:13" ht="15">
      <c r="G39" s="132"/>
      <c r="H39" s="132"/>
      <c r="I39" s="132"/>
      <c r="J39" s="132"/>
      <c r="K39" s="132"/>
      <c r="L39" s="132"/>
      <c r="M39" s="132"/>
    </row>
    <row r="40" spans="7:13" ht="15">
      <c r="G40" s="132"/>
      <c r="H40" s="132"/>
      <c r="I40" s="132"/>
      <c r="J40" s="132"/>
      <c r="K40" s="132"/>
      <c r="L40" s="132"/>
      <c r="M40" s="132"/>
    </row>
    <row r="41" spans="7:13" ht="15">
      <c r="G41" s="132"/>
      <c r="H41" s="132"/>
      <c r="I41" s="132"/>
      <c r="J41" s="132"/>
      <c r="K41" s="132"/>
      <c r="L41" s="132"/>
      <c r="M41" s="132"/>
    </row>
    <row r="42" spans="7:13" ht="15">
      <c r="G42" s="132"/>
      <c r="H42" s="132"/>
      <c r="I42" s="132"/>
      <c r="J42" s="132"/>
      <c r="K42" s="132"/>
      <c r="L42" s="132"/>
      <c r="M42" s="132"/>
    </row>
    <row r="43" spans="7:13" ht="15">
      <c r="G43" s="132"/>
      <c r="H43" s="132"/>
      <c r="I43" s="132"/>
      <c r="J43" s="132"/>
      <c r="K43" s="132"/>
      <c r="L43" s="132"/>
      <c r="M43" s="132"/>
    </row>
    <row r="44" spans="7:13" ht="15">
      <c r="G44" s="132"/>
      <c r="H44" s="132"/>
      <c r="I44" s="132"/>
      <c r="J44" s="132"/>
      <c r="K44" s="132"/>
      <c r="L44" s="132"/>
      <c r="M44" s="132"/>
    </row>
    <row r="45" spans="7:13" ht="15">
      <c r="G45" s="132"/>
      <c r="H45" s="132"/>
      <c r="I45" s="132"/>
      <c r="J45" s="132"/>
      <c r="K45" s="132"/>
      <c r="L45" s="132"/>
      <c r="M45" s="132"/>
    </row>
    <row r="46" spans="7:13" ht="15">
      <c r="G46" s="132"/>
      <c r="H46" s="132"/>
      <c r="I46" s="132"/>
      <c r="J46" s="132"/>
      <c r="K46" s="132"/>
      <c r="L46" s="132"/>
      <c r="M46" s="132"/>
    </row>
    <row r="47" spans="7:13" ht="15">
      <c r="G47" s="132"/>
      <c r="H47" s="132"/>
      <c r="I47" s="132"/>
      <c r="J47" s="132"/>
      <c r="K47" s="132"/>
      <c r="L47" s="132"/>
      <c r="M47" s="132"/>
    </row>
    <row r="48" spans="7:13" ht="15">
      <c r="G48" s="132"/>
      <c r="H48" s="132"/>
      <c r="I48" s="132"/>
      <c r="J48" s="132"/>
      <c r="K48" s="132"/>
      <c r="L48" s="132"/>
      <c r="M48" s="132"/>
    </row>
    <row r="49" spans="7:13" ht="15">
      <c r="G49" s="132"/>
      <c r="H49" s="132"/>
      <c r="I49" s="132"/>
      <c r="J49" s="132"/>
      <c r="K49" s="132"/>
      <c r="L49" s="132"/>
      <c r="M49" s="132"/>
    </row>
  </sheetData>
  <sheetProtection password="CCA4" sheet="1" formatCells="0" formatColumns="0" formatRows="0" selectLockedCells="1"/>
  <printOptions horizontalCentered="1"/>
  <pageMargins left="0.1968503937007874" right="0.1968503937007874" top="0.9055118110236221" bottom="0.4330708661417323" header="0.5118110236220472" footer="0.4330708661417323"/>
  <pageSetup fitToHeight="1" fitToWidth="1" horizontalDpi="600" verticalDpi="600" orientation="portrait" paperSize="9" scale="75" r:id="rId1"/>
  <headerFooter alignWithMargins="0">
    <oddHeader>&amp;C&amp;12Spielplan - Resultate Gruppenspiele Vorrunde 12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16.8515625" style="33" customWidth="1"/>
    <col min="2" max="2" width="3.7109375" style="34" customWidth="1"/>
    <col min="3" max="3" width="1.57421875" style="34" bestFit="1" customWidth="1"/>
    <col min="4" max="4" width="3.7109375" style="34" customWidth="1"/>
    <col min="5" max="5" width="4.28125" style="34" customWidth="1"/>
    <col min="6" max="6" width="4.7109375" style="34" customWidth="1"/>
    <col min="7" max="7" width="1.57421875" style="34" bestFit="1" customWidth="1"/>
    <col min="8" max="8" width="4.7109375" style="34" customWidth="1"/>
    <col min="9" max="9" width="9.57421875" style="34" customWidth="1"/>
    <col min="10" max="10" width="5.28125" style="34" bestFit="1" customWidth="1"/>
    <col min="11" max="11" width="16.28125" style="56" hidden="1" customWidth="1"/>
    <col min="12" max="12" width="5.8515625" style="33" customWidth="1"/>
    <col min="13" max="13" width="3.00390625" style="2" customWidth="1"/>
    <col min="14" max="14" width="27.57421875" style="0" customWidth="1"/>
    <col min="15" max="15" width="3.7109375" style="0" hidden="1" customWidth="1"/>
    <col min="16" max="16384" width="11.421875" style="33" customWidth="1"/>
  </cols>
  <sheetData>
    <row r="1" spans="1:14" ht="24" thickBot="1" thickTop="1">
      <c r="A1" s="27" t="s">
        <v>23</v>
      </c>
      <c r="B1" s="174" t="s">
        <v>28</v>
      </c>
      <c r="C1" s="173"/>
      <c r="D1" s="175"/>
      <c r="E1" s="51" t="s">
        <v>30</v>
      </c>
      <c r="F1" s="173" t="s">
        <v>31</v>
      </c>
      <c r="G1" s="173"/>
      <c r="H1" s="173"/>
      <c r="I1" s="40" t="s">
        <v>32</v>
      </c>
      <c r="J1" s="44" t="s">
        <v>33</v>
      </c>
      <c r="K1" s="67" t="s">
        <v>20</v>
      </c>
      <c r="L1" s="39"/>
      <c r="M1" s="17" t="s">
        <v>0</v>
      </c>
      <c r="N1" s="15" t="s">
        <v>5</v>
      </c>
    </row>
    <row r="2" spans="1:15" ht="13.5" thickTop="1">
      <c r="A2" s="26" t="str">
        <f>Anmeldung!B16</f>
        <v>Team 1, Gruppe A</v>
      </c>
      <c r="B2" s="24">
        <f>SUM(Vorrunde!H28,Vorrunde!H22,Vorrunde!H14,Vorrunde!H10,Vorrunde!H2)</f>
        <v>0</v>
      </c>
      <c r="C2" s="34" t="s">
        <v>29</v>
      </c>
      <c r="D2" s="36">
        <f>SUM(Vorrunde!J28,Vorrunde!J22,Vorrunde!J14,Vorrunde!J10,Vorrunde!J2)</f>
        <v>0</v>
      </c>
      <c r="E2" s="52">
        <f aca="true" t="shared" si="0" ref="E2:E7">SUM(B2-D2)</f>
        <v>0</v>
      </c>
      <c r="F2" s="34">
        <f>SUM(Vorrunde!L28,Vorrunde!O28,Vorrunde!R28,Vorrunde!L22,Vorrunde!O22,Vorrunde!R22,Vorrunde!L14,Vorrunde!O14,Vorrunde!R14,Vorrunde!L10,Vorrunde!O10,Vorrunde!R10,Vorrunde!L2,Vorrunde!O2,Vorrunde!R2)</f>
        <v>0</v>
      </c>
      <c r="G2" s="34" t="s">
        <v>29</v>
      </c>
      <c r="H2" s="34">
        <f>SUM(Vorrunde!N28,Vorrunde!Q28,Vorrunde!T28,Vorrunde!N22,Vorrunde!Q22,Vorrunde!T22,Vorrunde!N14,Vorrunde!Q14,Vorrunde!T14,Vorrunde!N10,Vorrunde!Q10,Vorrunde!T10,Vorrunde!N2,Vorrunde!Q2,Vorrunde!T2)</f>
        <v>0</v>
      </c>
      <c r="I2" s="49" t="str">
        <f aca="true" t="shared" si="1" ref="I2:I7">IF((H2=0),"Quotient",F2/H2)</f>
        <v>Quotient</v>
      </c>
      <c r="J2" s="46">
        <f aca="true" t="shared" si="2" ref="J2:J7">RANK(B2,$B$2:$B$7)</f>
        <v>1</v>
      </c>
      <c r="K2" s="68" t="str">
        <f aca="true" t="shared" si="3" ref="K2:K7">A2</f>
        <v>Team 1, Gruppe A</v>
      </c>
      <c r="L2" s="39"/>
      <c r="M2" s="38">
        <v>1</v>
      </c>
      <c r="N2" s="4" t="str">
        <f>IF(B2+B3+B4+B5+B6+B7=0,"Team 1, Gruppe A",VLOOKUP(1,J2:K7,2,FALSE))</f>
        <v>Team 1, Gruppe A</v>
      </c>
      <c r="O2" s="11" t="s">
        <v>34</v>
      </c>
    </row>
    <row r="3" spans="1:15" ht="12.75">
      <c r="A3" s="26" t="str">
        <f>Anmeldung!B17</f>
        <v>Team 2, Gruppe A</v>
      </c>
      <c r="B3" s="24">
        <f>SUM(Vorrunde!J28,Vorrunde!H4,Vorrunde!H12,Vorrunde!H16,Vorrunde!H24)</f>
        <v>0</v>
      </c>
      <c r="C3" s="34" t="s">
        <v>29</v>
      </c>
      <c r="D3" s="36">
        <f>SUM(Vorrunde!H28,Vorrunde!J4,Vorrunde!J12,Vorrunde!J16,Vorrunde!J24)</f>
        <v>0</v>
      </c>
      <c r="E3" s="52">
        <f t="shared" si="0"/>
        <v>0</v>
      </c>
      <c r="F3" s="34">
        <f>SUM(Vorrunde!N28,Vorrunde!Q28,Vorrunde!T28,Vorrunde!L4,Vorrunde!O4,Vorrunde!R4,Vorrunde!L12,Vorrunde!O12,Vorrunde!R12,Vorrunde!L16,Vorrunde!O16,Vorrunde!R16,Vorrunde!L24,Vorrunde!O24,Vorrunde!R24)</f>
        <v>0</v>
      </c>
      <c r="G3" s="34" t="s">
        <v>29</v>
      </c>
      <c r="H3" s="34">
        <f>SUM(Vorrunde!L28,Vorrunde!O28,Vorrunde!R28,Vorrunde!N4,Vorrunde!Q4,Vorrunde!T4,Vorrunde!N12,Vorrunde!Q12,Vorrunde!T12,Vorrunde!N16,Vorrunde!Q16,Vorrunde!T16,Vorrunde!N24,Vorrunde!Q24,Vorrunde!T24)</f>
        <v>0</v>
      </c>
      <c r="I3" s="49" t="str">
        <f t="shared" si="1"/>
        <v>Quotient</v>
      </c>
      <c r="J3" s="46">
        <f t="shared" si="2"/>
        <v>1</v>
      </c>
      <c r="K3" s="68" t="str">
        <f t="shared" si="3"/>
        <v>Team 2, Gruppe A</v>
      </c>
      <c r="M3" s="8">
        <v>2</v>
      </c>
      <c r="N3" s="5" t="str">
        <f>IF(B9+B10+B11+B12+B13+B14=0,"Team 1, Gruppe B",VLOOKUP(1,J9:K14,2,FALSE))</f>
        <v>Team 1, Gruppe B</v>
      </c>
      <c r="O3" s="11" t="s">
        <v>35</v>
      </c>
    </row>
    <row r="4" spans="1:15" ht="12.75">
      <c r="A4" s="26" t="str">
        <f>Anmeldung!B18</f>
        <v>Team 3, Gruppe A</v>
      </c>
      <c r="B4" s="24">
        <f>SUM(Vorrunde!H26,Vorrunde!H18,Vorrunde!H6,Vorrunde!J22,Vorrunde!J12)</f>
        <v>0</v>
      </c>
      <c r="C4" s="34" t="s">
        <v>29</v>
      </c>
      <c r="D4" s="36">
        <f>SUM(Vorrunde!J26,Vorrunde!J18,Vorrunde!J6,Vorrunde!H22,Vorrunde!H12)</f>
        <v>0</v>
      </c>
      <c r="E4" s="52">
        <f t="shared" si="0"/>
        <v>0</v>
      </c>
      <c r="F4" s="34">
        <f>SUM(Vorrunde!L26,Vorrunde!O26,Vorrunde!R26,Vorrunde!L18,Vorrunde!O18,Vorrunde!R18,Vorrunde!L6,Vorrunde!O6,Vorrunde!R6,Vorrunde!N22,Vorrunde!Q22,Vorrunde!T22,Vorrunde!N12,Vorrunde!Q12,Vorrunde!T12)</f>
        <v>0</v>
      </c>
      <c r="G4" s="34" t="s">
        <v>29</v>
      </c>
      <c r="H4" s="34">
        <f>SUM(Vorrunde!N26,Vorrunde!Q26,Vorrunde!T26,Vorrunde!N18,Vorrunde!Q18,Vorrunde!T18,Vorrunde!N6,Vorrunde!Q6,Vorrunde!T6,Vorrunde!L22,Vorrunde!O22,Vorrunde!R22,Vorrunde!L12,Vorrunde!O12,Vorrunde!R12)</f>
        <v>0</v>
      </c>
      <c r="I4" s="49" t="str">
        <f t="shared" si="1"/>
        <v>Quotient</v>
      </c>
      <c r="J4" s="46">
        <f t="shared" si="2"/>
        <v>1</v>
      </c>
      <c r="K4" s="68" t="str">
        <f t="shared" si="3"/>
        <v>Team 3, Gruppe A</v>
      </c>
      <c r="M4" s="8">
        <v>3</v>
      </c>
      <c r="N4" s="5" t="str">
        <f>IF(B9+B10+B11+B12+B13+B14=0,"Team 2, Gruppe B",VLOOKUP(2,J9:K14,2,FALSE))</f>
        <v>Team 2, Gruppe B</v>
      </c>
      <c r="O4" s="11" t="s">
        <v>36</v>
      </c>
    </row>
    <row r="5" spans="1:15" ht="12.75">
      <c r="A5" s="26" t="str">
        <f>Anmeldung!B19</f>
        <v>Team 4, Gruppe A</v>
      </c>
      <c r="B5" s="24">
        <f>SUM(Vorrunde!J26,Vorrunde!J4,Vorrunde!J14,Vorrunde!H8,Vorrunde!H20)</f>
        <v>0</v>
      </c>
      <c r="C5" s="34" t="s">
        <v>29</v>
      </c>
      <c r="D5" s="36">
        <f>SUM(Vorrunde!H26,Vorrunde!H4,Vorrunde!H14,Vorrunde!J8,Vorrunde!J20)</f>
        <v>0</v>
      </c>
      <c r="E5" s="52">
        <f t="shared" si="0"/>
        <v>0</v>
      </c>
      <c r="F5" s="34">
        <f>SUM(Vorrunde!N26,Vorrunde!Q26,Vorrunde!T26,Vorrunde!N4,Vorrunde!Q4,Vorrunde!T4,Vorrunde!N14,Vorrunde!Q14,Vorrunde!T14,Vorrunde!L8,Vorrunde!O8,Vorrunde!R8,Vorrunde!L20,Vorrunde!O20,Vorrunde!R20)</f>
        <v>0</v>
      </c>
      <c r="G5" s="34" t="s">
        <v>29</v>
      </c>
      <c r="H5" s="34">
        <f>SUM(Vorrunde!L26,Vorrunde!O26,Vorrunde!R26,Vorrunde!L4,Vorrunde!O4,Vorrunde!R4,Vorrunde!L14,Vorrunde!O14,Vorrunde!R14,Vorrunde!N8,Vorrunde!Q8,Vorrunde!T8,Vorrunde!N20,Vorrunde!Q20,Vorrunde!T20)</f>
        <v>0</v>
      </c>
      <c r="I5" s="49" t="str">
        <f t="shared" si="1"/>
        <v>Quotient</v>
      </c>
      <c r="J5" s="46">
        <f t="shared" si="2"/>
        <v>1</v>
      </c>
      <c r="K5" s="69" t="str">
        <f t="shared" si="3"/>
        <v>Team 4, Gruppe A</v>
      </c>
      <c r="M5" s="8">
        <v>4</v>
      </c>
      <c r="N5" s="5" t="str">
        <f>IF(B2+B3+B4+B5+B6+B7=0,"Team 2, Gruppe A",VLOOKUP(2,J2:K7,2,FALSE))</f>
        <v>Team 2, Gruppe A</v>
      </c>
      <c r="O5" s="11" t="s">
        <v>46</v>
      </c>
    </row>
    <row r="6" spans="1:15" ht="12.75">
      <c r="A6" s="26" t="str">
        <f>Anmeldung!B20</f>
        <v>Team 5, Gruppe A</v>
      </c>
      <c r="B6" s="24">
        <f>SUM(Vorrunde!J6,Vorrunde!J10,Vorrunde!J16,Vorrunde!J20,Vorrunde!H30)</f>
        <v>0</v>
      </c>
      <c r="C6" s="34" t="s">
        <v>29</v>
      </c>
      <c r="D6" s="36">
        <f>SUM(Vorrunde!H6,Vorrunde!H10,Vorrunde!H16,Vorrunde!H20,Vorrunde!J30)</f>
        <v>0</v>
      </c>
      <c r="E6" s="52">
        <f t="shared" si="0"/>
        <v>0</v>
      </c>
      <c r="F6" s="34">
        <f>SUM(Vorrunde!N6,Vorrunde!Q6,Vorrunde!T6,Vorrunde!N10,Vorrunde!Q10,Vorrunde!T10,Vorrunde!N16,Vorrunde!Q16,Vorrunde!T16,Vorrunde!N20,Vorrunde!Q20,Vorrunde!T20,Vorrunde!L30,Vorrunde!O30,Vorrunde!R30)</f>
        <v>0</v>
      </c>
      <c r="G6" s="34" t="s">
        <v>29</v>
      </c>
      <c r="H6" s="34">
        <f>SUM(Vorrunde!L6,Vorrunde!O6,Vorrunde!R6,Vorrunde!L10,Vorrunde!O10,Vorrunde!R10,Vorrunde!L16,Vorrunde!O16,Vorrunde!R16,Vorrunde!L20,Vorrunde!O20,Vorrunde!R20,Vorrunde!N30,Vorrunde!Q30,Vorrunde!T30)</f>
        <v>0</v>
      </c>
      <c r="I6" s="49" t="str">
        <f t="shared" si="1"/>
        <v>Quotient</v>
      </c>
      <c r="J6" s="46">
        <f t="shared" si="2"/>
        <v>1</v>
      </c>
      <c r="K6" s="69" t="str">
        <f t="shared" si="3"/>
        <v>Team 5, Gruppe A</v>
      </c>
      <c r="M6" s="8">
        <v>5</v>
      </c>
      <c r="N6" s="5" t="str">
        <f>IF(B2+B3+B4+B5+B6+B7=0,"Team 3, Gruppe A",VLOOKUP(3,J2:K7,2,FALSE))</f>
        <v>Team 3, Gruppe A</v>
      </c>
      <c r="O6" s="11" t="s">
        <v>48</v>
      </c>
    </row>
    <row r="7" spans="1:15" ht="12.75">
      <c r="A7" s="28" t="str">
        <f>Anmeldung!B21</f>
        <v>Team 6, Gruppe A</v>
      </c>
      <c r="B7" s="25">
        <f>SUM(Vorrunde!J2,Vorrunde!J18,Vorrunde!J8,Vorrunde!J24,Vorrunde!J30)</f>
        <v>0</v>
      </c>
      <c r="C7" s="35" t="s">
        <v>29</v>
      </c>
      <c r="D7" s="37">
        <f>SUM(Vorrunde!H2,Vorrunde!H18,Vorrunde!H8,Vorrunde!H24,Vorrunde!H30)</f>
        <v>0</v>
      </c>
      <c r="E7" s="53">
        <f t="shared" si="0"/>
        <v>0</v>
      </c>
      <c r="F7" s="35">
        <f>SUM(Vorrunde!N2,Vorrunde!Q2,Vorrunde!T2,Vorrunde!N18,Vorrunde!Q18,Vorrunde!T18,Vorrunde!N8,Vorrunde!Q8,Vorrunde!T8,Vorrunde!N24,Vorrunde!Q24,Vorrunde!T24,Vorrunde!N30,Vorrunde!Q30,Vorrunde!T30)</f>
        <v>0</v>
      </c>
      <c r="G7" s="35" t="s">
        <v>29</v>
      </c>
      <c r="H7" s="35">
        <f>SUM(Vorrunde!L2,Vorrunde!O2,Vorrunde!R2,Vorrunde!L18,Vorrunde!O18,Vorrunde!R18,Vorrunde!L8,Vorrunde!O8,Vorrunde!R8,Vorrunde!L24,Vorrunde!O24,Vorrunde!R24,Vorrunde!L30,Vorrunde!O30,Vorrunde!R30)</f>
        <v>0</v>
      </c>
      <c r="I7" s="50" t="str">
        <f t="shared" si="1"/>
        <v>Quotient</v>
      </c>
      <c r="J7" s="47">
        <f t="shared" si="2"/>
        <v>1</v>
      </c>
      <c r="K7" s="68" t="str">
        <f t="shared" si="3"/>
        <v>Team 6, Gruppe A</v>
      </c>
      <c r="M7" s="8">
        <v>6</v>
      </c>
      <c r="N7" s="5" t="str">
        <f>IF(B9+B10+B11+B12+B13+B14=0,"Team 3, Gruppe B",VLOOKUP(3,J9:K14,2,FALSE))</f>
        <v>Team 3, Gruppe B</v>
      </c>
      <c r="O7" s="11" t="s">
        <v>47</v>
      </c>
    </row>
    <row r="8" spans="1:14" ht="12.75">
      <c r="A8" s="64" t="s">
        <v>24</v>
      </c>
      <c r="B8" s="24"/>
      <c r="C8" s="65"/>
      <c r="D8" s="66"/>
      <c r="E8" s="52"/>
      <c r="G8" s="65"/>
      <c r="I8" s="49"/>
      <c r="J8" s="45"/>
      <c r="K8" s="68"/>
      <c r="N8" s="94" t="s">
        <v>49</v>
      </c>
    </row>
    <row r="9" spans="1:15" ht="12.75">
      <c r="A9" s="26" t="str">
        <f>Anmeldung!D16</f>
        <v>Team 1, Gruppe B</v>
      </c>
      <c r="B9" s="24">
        <f>SUM(Vorrunde!H29,Vorrunde!H23,Vorrunde!H15,Vorrunde!H11,Vorrunde!H3)</f>
        <v>0</v>
      </c>
      <c r="C9" s="34" t="s">
        <v>29</v>
      </c>
      <c r="D9" s="36">
        <f>SUM(Vorrunde!J29,Vorrunde!J23,Vorrunde!J15,Vorrunde!J11,Vorrunde!J3)</f>
        <v>0</v>
      </c>
      <c r="E9" s="52">
        <f aca="true" t="shared" si="4" ref="E9:E14">SUM(B9-D9)</f>
        <v>0</v>
      </c>
      <c r="F9" s="34">
        <f>SUM(Vorrunde!L29,Vorrunde!O29,Vorrunde!R29,Vorrunde!L23,Vorrunde!O23,Vorrunde!R23,Vorrunde!L15,Vorrunde!O15,Vorrunde!R15,Vorrunde!L11,Vorrunde!O11,Vorrunde!R11,Vorrunde!L3,Vorrunde!O3,Vorrunde!R3)</f>
        <v>0</v>
      </c>
      <c r="G9" s="34" t="s">
        <v>29</v>
      </c>
      <c r="H9" s="34">
        <f>SUM(Vorrunde!N29,Vorrunde!Q29,Vorrunde!T29,Vorrunde!N23,Vorrunde!Q23,Vorrunde!T23,Vorrunde!N15,Vorrunde!Q15,Vorrunde!T15,Vorrunde!N11,Vorrunde!Q11,Vorrunde!T11,Vorrunde!N3,Vorrunde!Q3,Vorrunde!T3)</f>
        <v>0</v>
      </c>
      <c r="I9" s="49" t="str">
        <f aca="true" t="shared" si="5" ref="I9:I14">IF((H9=0),"Quotient",F9/H9)</f>
        <v>Quotient</v>
      </c>
      <c r="J9" s="46">
        <f aca="true" t="shared" si="6" ref="J9:J14">RANK(B9,$B$9:$B$14)</f>
        <v>1</v>
      </c>
      <c r="K9" s="68" t="str">
        <f aca="true" t="shared" si="7" ref="K9:K14">A9</f>
        <v>Team 1, Gruppe B</v>
      </c>
      <c r="M9" s="8">
        <v>7</v>
      </c>
      <c r="N9" s="5" t="str">
        <f>IF(B2+B3+B4+B5+B6+B7=0,"Team 4, Gruppe A",VLOOKUP(4,J2:K7,2,FALSE))</f>
        <v>Team 4, Gruppe A</v>
      </c>
      <c r="O9" s="11" t="s">
        <v>41</v>
      </c>
    </row>
    <row r="10" spans="1:15" ht="12.75">
      <c r="A10" s="26" t="str">
        <f>Anmeldung!D17</f>
        <v>Team 2, Gruppe B</v>
      </c>
      <c r="B10" s="24">
        <f>SUM(Vorrunde!J29,Vorrunde!H5,Vorrunde!H13,Vorrunde!H17,Vorrunde!H25)</f>
        <v>0</v>
      </c>
      <c r="C10" s="34" t="s">
        <v>29</v>
      </c>
      <c r="D10" s="36">
        <f>SUM(Vorrunde!H29,Vorrunde!J5,Vorrunde!J13,Vorrunde!J17,Vorrunde!J25)</f>
        <v>0</v>
      </c>
      <c r="E10" s="52">
        <f t="shared" si="4"/>
        <v>0</v>
      </c>
      <c r="F10" s="34">
        <f>SUM(Vorrunde!N29,Vorrunde!Q29,Vorrunde!T29,Vorrunde!L5,Vorrunde!O5,Vorrunde!R5,Vorrunde!L13,Vorrunde!O13,Vorrunde!R13,Vorrunde!L17,Vorrunde!O17,Vorrunde!R17,Vorrunde!L25,Vorrunde!O25,Vorrunde!R25)</f>
        <v>0</v>
      </c>
      <c r="G10" s="34" t="s">
        <v>29</v>
      </c>
      <c r="H10" s="34">
        <f>SUM(Vorrunde!L29,Vorrunde!O29,Vorrunde!R29,Vorrunde!N5,Vorrunde!Q5,Vorrunde!T5,Vorrunde!N13,Vorrunde!Q13,Vorrunde!T13,Vorrunde!N17,Vorrunde!Q17,Vorrunde!T17,Vorrunde!N25,Vorrunde!Q25,Vorrunde!T25)</f>
        <v>0</v>
      </c>
      <c r="I10" s="49" t="str">
        <f t="shared" si="5"/>
        <v>Quotient</v>
      </c>
      <c r="J10" s="46">
        <f t="shared" si="6"/>
        <v>1</v>
      </c>
      <c r="K10" s="68" t="str">
        <f t="shared" si="7"/>
        <v>Team 2, Gruppe B</v>
      </c>
      <c r="M10" s="8">
        <v>7</v>
      </c>
      <c r="N10" s="5" t="str">
        <f>IF(B9+B10+B11+B12+B13+B14=0,"Team 4, Gruppe B",VLOOKUP(4,J9:K14,2,FALSE))</f>
        <v>Team 4, Gruppe B</v>
      </c>
      <c r="O10" s="11" t="s">
        <v>40</v>
      </c>
    </row>
    <row r="11" spans="1:15" ht="12.75">
      <c r="A11" s="26" t="str">
        <f>Anmeldung!D18</f>
        <v>Team 3, Gruppe B</v>
      </c>
      <c r="B11" s="24">
        <f>SUM(Vorrunde!H27,Vorrunde!H19,Vorrunde!H7,Vorrunde!J23,Vorrunde!J13)</f>
        <v>0</v>
      </c>
      <c r="C11" s="34" t="s">
        <v>29</v>
      </c>
      <c r="D11" s="36">
        <f>SUM(Vorrunde!J27,Vorrunde!J19,Vorrunde!J7,Vorrunde!H23,Vorrunde!H13)</f>
        <v>0</v>
      </c>
      <c r="E11" s="52">
        <f t="shared" si="4"/>
        <v>0</v>
      </c>
      <c r="F11" s="34">
        <f>SUM(Vorrunde!L27,Vorrunde!O27,Vorrunde!R27,Vorrunde!L19,Vorrunde!O19,Vorrunde!R19,Vorrunde!L7,Vorrunde!O7,Vorrunde!R7,Vorrunde!N23,Vorrunde!Q23,Vorrunde!T23,Vorrunde!N13,Vorrunde!Q13,Vorrunde!T13)</f>
        <v>0</v>
      </c>
      <c r="G11" s="34" t="s">
        <v>29</v>
      </c>
      <c r="H11" s="34">
        <f>SUM(Vorrunde!N27,Vorrunde!Q27,Vorrunde!T27,Vorrunde!N19,Vorrunde!Q19,Vorrunde!T19,Vorrunde!N7,Vorrunde!Q7,Vorrunde!T7,Vorrunde!L23,Vorrunde!O23,Vorrunde!R23,Vorrunde!L13,Vorrunde!O13,Vorrunde!R13)</f>
        <v>0</v>
      </c>
      <c r="I11" s="49" t="str">
        <f t="shared" si="5"/>
        <v>Quotient</v>
      </c>
      <c r="J11" s="46">
        <f t="shared" si="6"/>
        <v>1</v>
      </c>
      <c r="K11" s="69" t="str">
        <f t="shared" si="7"/>
        <v>Team 3, Gruppe B</v>
      </c>
      <c r="M11" s="8">
        <v>9</v>
      </c>
      <c r="N11" s="5" t="str">
        <f>IF(B2+B3+B4+B5+B6+B7=0,"Team 5, Gruppe A",VLOOKUP(5,J2:K7,2,FALSE))</f>
        <v>Team 5, Gruppe A</v>
      </c>
      <c r="O11" s="11" t="s">
        <v>43</v>
      </c>
    </row>
    <row r="12" spans="1:15" ht="12.75">
      <c r="A12" s="26" t="str">
        <f>Anmeldung!D19</f>
        <v>Team 4, Gruppe B</v>
      </c>
      <c r="B12" s="24">
        <f>SUM(Vorrunde!J27,Vorrunde!J5,Vorrunde!J15,Vorrunde!H9,Vorrunde!H21)</f>
        <v>0</v>
      </c>
      <c r="C12" s="34" t="s">
        <v>29</v>
      </c>
      <c r="D12" s="36">
        <f>SUM(Vorrunde!H27,Vorrunde!H5,Vorrunde!H15,Vorrunde!J9,Vorrunde!J21)</f>
        <v>0</v>
      </c>
      <c r="E12" s="52">
        <f t="shared" si="4"/>
        <v>0</v>
      </c>
      <c r="F12" s="34">
        <f>SUM(Vorrunde!N27,Vorrunde!Q27,Vorrunde!T27,Vorrunde!N5,Vorrunde!Q5,Vorrunde!T5,Vorrunde!N15,Vorrunde!Q15,Vorrunde!T15,Vorrunde!L9,Vorrunde!O9,Vorrunde!R9,Vorrunde!L21,Vorrunde!O21,Vorrunde!R21)</f>
        <v>0</v>
      </c>
      <c r="G12" s="34" t="s">
        <v>29</v>
      </c>
      <c r="H12" s="34">
        <f>SUM(Vorrunde!L27,Vorrunde!O27,Vorrunde!R27,Vorrunde!L5,Vorrunde!O5,Vorrunde!R5,Vorrunde!L15,Vorrunde!O15,Vorrunde!R15,Vorrunde!N9,Vorrunde!Q9,Vorrunde!T9,Vorrunde!N21,Vorrunde!Q21,Vorrunde!T21)</f>
        <v>0</v>
      </c>
      <c r="I12" s="49" t="str">
        <f t="shared" si="5"/>
        <v>Quotient</v>
      </c>
      <c r="J12" s="46">
        <f t="shared" si="6"/>
        <v>1</v>
      </c>
      <c r="K12" s="69" t="str">
        <f t="shared" si="7"/>
        <v>Team 4, Gruppe B</v>
      </c>
      <c r="M12" s="8">
        <v>9</v>
      </c>
      <c r="N12" s="5" t="str">
        <f>IF(B9+B10+B11+B12+B13+B14=0,"Team 5, Gruppe B",VLOOKUP(5,J9:K14,2,FALSE))</f>
        <v>Team 5, Gruppe B</v>
      </c>
      <c r="O12" s="11" t="s">
        <v>44</v>
      </c>
    </row>
    <row r="13" spans="1:15" ht="12.75">
      <c r="A13" s="26" t="str">
        <f>Anmeldung!D20</f>
        <v>Team 5, Gruppe B</v>
      </c>
      <c r="B13" s="24">
        <f>SUM(Vorrunde!J7,Vorrunde!J11,Vorrunde!J17,Vorrunde!J21,Vorrunde!H31)</f>
        <v>0</v>
      </c>
      <c r="C13" s="34" t="s">
        <v>29</v>
      </c>
      <c r="D13" s="36">
        <f>SUM(Vorrunde!H7,Vorrunde!H11,Vorrunde!H17,Vorrunde!H21,Vorrunde!J31)</f>
        <v>0</v>
      </c>
      <c r="E13" s="52">
        <f t="shared" si="4"/>
        <v>0</v>
      </c>
      <c r="F13" s="34">
        <f>SUM(Vorrunde!N7,Vorrunde!Q7,Vorrunde!T7,Vorrunde!N11,Vorrunde!Q11,Vorrunde!T11,Vorrunde!N17,Vorrunde!Q17,Vorrunde!T17,Vorrunde!N21,Vorrunde!Q21,Vorrunde!T21,Vorrunde!L31,Vorrunde!O31,Vorrunde!R31)</f>
        <v>0</v>
      </c>
      <c r="G13" s="34" t="s">
        <v>29</v>
      </c>
      <c r="H13" s="34">
        <f>SUM(Vorrunde!L7,Vorrunde!O7,Vorrunde!R7,Vorrunde!L11,Vorrunde!O11,Vorrunde!R11,Vorrunde!L17,Vorrunde!O17,Vorrunde!R17,Vorrunde!L21,Vorrunde!O21,Vorrunde!R21,Vorrunde!N31,Vorrunde!Q31,Vorrunde!T31)</f>
        <v>0</v>
      </c>
      <c r="I13" s="49" t="str">
        <f t="shared" si="5"/>
        <v>Quotient</v>
      </c>
      <c r="J13" s="46">
        <f t="shared" si="6"/>
        <v>1</v>
      </c>
      <c r="K13" s="67" t="str">
        <f t="shared" si="7"/>
        <v>Team 5, Gruppe B</v>
      </c>
      <c r="M13" s="8">
        <v>11</v>
      </c>
      <c r="N13" s="5" t="str">
        <f>IF(B2+B3+B4+B5+B6+B7=0,"Team 6, Gruppe A",VLOOKUP(6,J2:K7,2,FALSE))</f>
        <v>Team 6, Gruppe A</v>
      </c>
      <c r="O13" s="11" t="s">
        <v>55</v>
      </c>
    </row>
    <row r="14" spans="1:15" ht="12.75">
      <c r="A14" s="28" t="str">
        <f>Anmeldung!D21</f>
        <v>Team 6, Gruppe B</v>
      </c>
      <c r="B14" s="25">
        <f>SUM(Vorrunde!J3,Vorrunde!J19,Vorrunde!J9,Vorrunde!J25,Vorrunde!J31)</f>
        <v>0</v>
      </c>
      <c r="C14" s="35" t="s">
        <v>29</v>
      </c>
      <c r="D14" s="37">
        <f>SUM(Vorrunde!H3,Vorrunde!H19,Vorrunde!H9,Vorrunde!H25,Vorrunde!H31)</f>
        <v>0</v>
      </c>
      <c r="E14" s="53">
        <f t="shared" si="4"/>
        <v>0</v>
      </c>
      <c r="F14" s="35">
        <f>SUM(Vorrunde!N3,Vorrunde!Q3,Vorrunde!T3,Vorrunde!N19,Vorrunde!Q19,Vorrunde!T19,Vorrunde!N9,Vorrunde!Q9,Vorrunde!T9,Vorrunde!N25,Vorrunde!Q25,Vorrunde!T25,Vorrunde!N31,Vorrunde!Q31,Vorrunde!T31)</f>
        <v>0</v>
      </c>
      <c r="G14" s="35" t="s">
        <v>29</v>
      </c>
      <c r="H14" s="35">
        <f>SUM(Vorrunde!L3,Vorrunde!O3,Vorrunde!R3,Vorrunde!L19,Vorrunde!O19,Vorrunde!R19,Vorrunde!L9,Vorrunde!O9,Vorrunde!R9,Vorrunde!L25,Vorrunde!O25,Vorrunde!R25,Vorrunde!L31,Vorrunde!O31,Vorrunde!R31)</f>
        <v>0</v>
      </c>
      <c r="I14" s="50" t="str">
        <f t="shared" si="5"/>
        <v>Quotient</v>
      </c>
      <c r="J14" s="47">
        <f t="shared" si="6"/>
        <v>1</v>
      </c>
      <c r="K14" s="68" t="str">
        <f t="shared" si="7"/>
        <v>Team 6, Gruppe B</v>
      </c>
      <c r="M14" s="8">
        <v>11</v>
      </c>
      <c r="N14" s="5" t="str">
        <f>IF(B9+B10+B11+B12+B13+B14=0,"Team 6, Gruppe B",VLOOKUP(6,J9:K14,2,FALSE))</f>
        <v>Team 6, Gruppe B</v>
      </c>
      <c r="O14" s="11" t="s">
        <v>56</v>
      </c>
    </row>
    <row r="16" spans="1:15" ht="12.75">
      <c r="A16" s="143" t="s">
        <v>60</v>
      </c>
      <c r="B16" s="144"/>
      <c r="C16" s="145"/>
      <c r="D16" s="145"/>
      <c r="E16" s="145"/>
      <c r="F16" s="142"/>
      <c r="G16" s="142"/>
      <c r="H16" s="147"/>
      <c r="I16" s="143" t="s">
        <v>63</v>
      </c>
      <c r="J16" s="146"/>
      <c r="K16" s="145"/>
      <c r="L16" s="145"/>
      <c r="M16" s="145"/>
      <c r="N16" s="145"/>
      <c r="O16" s="145"/>
    </row>
    <row r="17" spans="1:15" ht="12.75">
      <c r="A17" s="146" t="s">
        <v>61</v>
      </c>
      <c r="B17" s="144"/>
      <c r="C17" s="145"/>
      <c r="D17" s="145"/>
      <c r="E17" s="145"/>
      <c r="F17" s="142"/>
      <c r="G17" s="142"/>
      <c r="H17" s="147"/>
      <c r="I17" s="146" t="s">
        <v>61</v>
      </c>
      <c r="J17" s="146"/>
      <c r="K17" s="145"/>
      <c r="L17" s="145"/>
      <c r="M17" s="145"/>
      <c r="N17" s="145"/>
      <c r="O17" s="145"/>
    </row>
    <row r="18" spans="1:15" ht="12.75">
      <c r="A18" s="146"/>
      <c r="B18" s="144"/>
      <c r="C18" s="145"/>
      <c r="D18" s="145"/>
      <c r="E18" s="145"/>
      <c r="F18" s="142"/>
      <c r="G18" s="142"/>
      <c r="H18" s="147"/>
      <c r="I18" s="146"/>
      <c r="J18" s="146"/>
      <c r="K18" s="145"/>
      <c r="L18" s="145"/>
      <c r="M18" s="145"/>
      <c r="N18" s="145"/>
      <c r="O18" s="145"/>
    </row>
    <row r="19" spans="1:15" ht="12.75">
      <c r="A19" s="143" t="s">
        <v>62</v>
      </c>
      <c r="B19" s="144"/>
      <c r="C19" s="145"/>
      <c r="D19" s="145"/>
      <c r="E19" s="145"/>
      <c r="F19" s="142"/>
      <c r="G19" s="142"/>
      <c r="H19" s="147"/>
      <c r="I19" s="146" t="s">
        <v>57</v>
      </c>
      <c r="J19" s="146"/>
      <c r="K19" s="145"/>
      <c r="L19" s="145"/>
      <c r="M19" s="145"/>
      <c r="N19" s="145"/>
      <c r="O19" s="145"/>
    </row>
    <row r="20" spans="1:15" ht="12.75">
      <c r="A20" s="146"/>
      <c r="B20" s="144"/>
      <c r="C20" s="145"/>
      <c r="D20" s="145"/>
      <c r="E20" s="145"/>
      <c r="F20" s="142"/>
      <c r="G20" s="142"/>
      <c r="H20" s="147"/>
      <c r="I20" s="146" t="s">
        <v>58</v>
      </c>
      <c r="J20" s="146"/>
      <c r="K20" s="145"/>
      <c r="L20" s="145"/>
      <c r="M20" s="145"/>
      <c r="N20" s="145"/>
      <c r="O20" s="145"/>
    </row>
    <row r="21" spans="1:15" ht="12.75">
      <c r="A21" s="146"/>
      <c r="B21" s="144"/>
      <c r="C21" s="145"/>
      <c r="D21" s="145"/>
      <c r="E21" s="145"/>
      <c r="F21" s="142"/>
      <c r="G21" s="142"/>
      <c r="H21" s="148"/>
      <c r="I21" s="146" t="s">
        <v>59</v>
      </c>
      <c r="J21" s="146"/>
      <c r="K21" s="145"/>
      <c r="L21" s="145"/>
      <c r="M21" s="145"/>
      <c r="N21" s="145"/>
      <c r="O21" s="145"/>
    </row>
  </sheetData>
  <sheetProtection password="CCA4" sheet="1" formatCells="0" formatColumns="0" formatRows="0" selectLockedCells="1"/>
  <mergeCells count="2">
    <mergeCell ref="F1:H1"/>
    <mergeCell ref="B1:D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C2" sqref="C2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1" customWidth="1"/>
    <col min="21" max="16384" width="9.140625" style="1" customWidth="1"/>
  </cols>
  <sheetData>
    <row r="1" spans="1:20" ht="33" customHeight="1">
      <c r="A1" s="133" t="s">
        <v>8</v>
      </c>
      <c r="B1" s="134" t="s">
        <v>9</v>
      </c>
      <c r="C1" s="134" t="s">
        <v>10</v>
      </c>
      <c r="D1" s="135" t="s">
        <v>37</v>
      </c>
      <c r="E1" s="136" t="s">
        <v>11</v>
      </c>
      <c r="F1" s="136" t="s">
        <v>12</v>
      </c>
      <c r="G1" s="136" t="s">
        <v>13</v>
      </c>
      <c r="H1" s="137" t="s">
        <v>14</v>
      </c>
      <c r="I1" s="137"/>
      <c r="J1" s="137"/>
      <c r="K1" s="138" t="s">
        <v>15</v>
      </c>
      <c r="L1" s="137" t="s">
        <v>21</v>
      </c>
      <c r="M1" s="137"/>
      <c r="N1" s="137"/>
      <c r="O1" s="137" t="s">
        <v>22</v>
      </c>
      <c r="P1" s="137"/>
      <c r="Q1" s="137"/>
      <c r="R1" s="137" t="s">
        <v>54</v>
      </c>
      <c r="S1" s="137"/>
      <c r="T1" s="139"/>
    </row>
    <row r="2" spans="1:20" ht="18" customHeight="1">
      <c r="A2" s="10">
        <v>31</v>
      </c>
      <c r="B2" s="10" t="s">
        <v>16</v>
      </c>
      <c r="C2" s="80"/>
      <c r="D2" s="140"/>
      <c r="E2" s="10" t="str">
        <f>RankSeed!N6</f>
        <v>Team 3, Gruppe A</v>
      </c>
      <c r="F2" s="10" t="s">
        <v>12</v>
      </c>
      <c r="G2" s="10" t="str">
        <f>RankSeed!N4</f>
        <v>Team 2, Gruppe B</v>
      </c>
      <c r="H2" s="123">
        <f aca="true" t="shared" si="0" ref="H2:H7">IF(L2=N2,"",SUM(IF(L2&gt;N2,1,0),IF(O2&gt;Q2,1,0),IF(R2&lt;=T2,0,1)))</f>
      </c>
      <c r="I2" s="124" t="s">
        <v>17</v>
      </c>
      <c r="J2" s="124">
        <f aca="true" t="shared" si="1" ref="J2:J7">IF(L2=N2,"",SUM(IF(L2&lt;N2,1,0),IF(O2&lt;Q2,1,0),IF(R2&gt;=T2,0,1)))</f>
      </c>
      <c r="K2" s="125"/>
      <c r="L2" s="80"/>
      <c r="M2" s="124" t="s">
        <v>17</v>
      </c>
      <c r="N2" s="80"/>
      <c r="O2" s="80"/>
      <c r="P2" s="124" t="s">
        <v>17</v>
      </c>
      <c r="Q2" s="80"/>
      <c r="R2" s="125"/>
      <c r="S2" s="124" t="s">
        <v>17</v>
      </c>
      <c r="T2" s="125"/>
    </row>
    <row r="3" spans="1:20" ht="18" customHeight="1">
      <c r="A3" s="10">
        <f>SUM(A2,1)</f>
        <v>32</v>
      </c>
      <c r="B3" s="10" t="s">
        <v>16</v>
      </c>
      <c r="C3" s="80"/>
      <c r="D3" s="81"/>
      <c r="E3" s="10" t="str">
        <f>RankSeed!N7</f>
        <v>Team 3, Gruppe B</v>
      </c>
      <c r="F3" s="10" t="s">
        <v>12</v>
      </c>
      <c r="G3" s="10" t="str">
        <f>RankSeed!N5</f>
        <v>Team 2, Gruppe A</v>
      </c>
      <c r="H3" s="123">
        <f t="shared" si="0"/>
      </c>
      <c r="I3" s="124" t="s">
        <v>17</v>
      </c>
      <c r="J3" s="124">
        <f t="shared" si="1"/>
      </c>
      <c r="K3" s="125"/>
      <c r="L3" s="80"/>
      <c r="M3" s="124" t="s">
        <v>17</v>
      </c>
      <c r="N3" s="80"/>
      <c r="O3" s="80"/>
      <c r="P3" s="124" t="s">
        <v>17</v>
      </c>
      <c r="Q3" s="80"/>
      <c r="R3" s="125"/>
      <c r="S3" s="124" t="s">
        <v>17</v>
      </c>
      <c r="T3" s="125"/>
    </row>
    <row r="4" spans="1:20" ht="18" customHeight="1">
      <c r="A4" s="10">
        <f>SUM(A3,1)</f>
        <v>33</v>
      </c>
      <c r="B4" s="10" t="s">
        <v>50</v>
      </c>
      <c r="C4" s="80"/>
      <c r="D4" s="81"/>
      <c r="E4" s="10" t="str">
        <f>RankSeed!N2</f>
        <v>Team 1, Gruppe A</v>
      </c>
      <c r="F4" s="10" t="s">
        <v>12</v>
      </c>
      <c r="G4" s="10" t="str">
        <f>IF($H$2=$J$2,CONCATENATE("Winner Match #",$A$2),IF($H$2&gt;$J$2,$E$2,$G$2))</f>
        <v>Winner Match #31</v>
      </c>
      <c r="H4" s="123">
        <f t="shared" si="0"/>
      </c>
      <c r="I4" s="124" t="s">
        <v>17</v>
      </c>
      <c r="J4" s="124">
        <f t="shared" si="1"/>
      </c>
      <c r="K4" s="125"/>
      <c r="L4" s="80"/>
      <c r="M4" s="124" t="s">
        <v>17</v>
      </c>
      <c r="N4" s="80"/>
      <c r="O4" s="80"/>
      <c r="P4" s="124" t="s">
        <v>17</v>
      </c>
      <c r="Q4" s="80"/>
      <c r="R4" s="125"/>
      <c r="S4" s="124" t="s">
        <v>17</v>
      </c>
      <c r="T4" s="125"/>
    </row>
    <row r="5" spans="1:20" ht="18" customHeight="1">
      <c r="A5" s="10">
        <f>SUM(A4,1)</f>
        <v>34</v>
      </c>
      <c r="B5" s="10" t="s">
        <v>50</v>
      </c>
      <c r="C5" s="80"/>
      <c r="D5" s="81"/>
      <c r="E5" s="10" t="str">
        <f>RankSeed!N3</f>
        <v>Team 1, Gruppe B</v>
      </c>
      <c r="F5" s="10" t="s">
        <v>12</v>
      </c>
      <c r="G5" s="10" t="str">
        <f>IF($H$3=$J$3,CONCATENATE("Winner Match #",$A$3),IF($H$3&gt;$J$3,$E$3,$G$3))</f>
        <v>Winner Match #32</v>
      </c>
      <c r="H5" s="123">
        <f t="shared" si="0"/>
      </c>
      <c r="I5" s="124" t="s">
        <v>17</v>
      </c>
      <c r="J5" s="124">
        <f t="shared" si="1"/>
      </c>
      <c r="K5" s="125"/>
      <c r="L5" s="80"/>
      <c r="M5" s="124" t="s">
        <v>17</v>
      </c>
      <c r="N5" s="80"/>
      <c r="O5" s="80"/>
      <c r="P5" s="124" t="s">
        <v>17</v>
      </c>
      <c r="Q5" s="80"/>
      <c r="R5" s="125"/>
      <c r="S5" s="124" t="s">
        <v>17</v>
      </c>
      <c r="T5" s="125"/>
    </row>
    <row r="6" spans="1:20" ht="18" customHeight="1">
      <c r="A6" s="10">
        <f>SUM(A5,1)</f>
        <v>35</v>
      </c>
      <c r="B6" s="141" t="s">
        <v>18</v>
      </c>
      <c r="C6" s="80"/>
      <c r="D6" s="81"/>
      <c r="E6" s="10" t="str">
        <f>IF($H$4=$J$4,CONCATENATE("Loser Match #",$A$4),IF($H$4&lt;$J$4,$E$4,$G$4))</f>
        <v>Loser Match #33</v>
      </c>
      <c r="F6" s="10" t="s">
        <v>12</v>
      </c>
      <c r="G6" s="10" t="str">
        <f>IF($H$5=$J$5,CONCATENATE("Loser Match #",$A$5),IF($H$5&lt;$J$5,$E$5,$G$5))</f>
        <v>Loser Match #34</v>
      </c>
      <c r="H6" s="123">
        <f t="shared" si="0"/>
      </c>
      <c r="I6" s="124" t="s">
        <v>17</v>
      </c>
      <c r="J6" s="124">
        <f t="shared" si="1"/>
      </c>
      <c r="K6" s="125"/>
      <c r="L6" s="80"/>
      <c r="M6" s="124" t="s">
        <v>17</v>
      </c>
      <c r="N6" s="80"/>
      <c r="O6" s="80"/>
      <c r="P6" s="124" t="s">
        <v>17</v>
      </c>
      <c r="Q6" s="80"/>
      <c r="R6" s="125"/>
      <c r="S6" s="124" t="s">
        <v>17</v>
      </c>
      <c r="T6" s="125"/>
    </row>
    <row r="7" spans="1:20" ht="18" customHeight="1">
      <c r="A7" s="10">
        <f>SUM(A6,1)</f>
        <v>36</v>
      </c>
      <c r="B7" s="10" t="s">
        <v>19</v>
      </c>
      <c r="C7" s="80"/>
      <c r="D7" s="81"/>
      <c r="E7" s="10" t="str">
        <f>IF($H$4=$J$4,CONCATENATE("Winner Match #",$A$4),IF($H$4&gt;$J$4,$E$4,$G$4))</f>
        <v>Winner Match #33</v>
      </c>
      <c r="F7" s="10" t="s">
        <v>12</v>
      </c>
      <c r="G7" s="10" t="str">
        <f>IF($H$5=$J$5,CONCATENATE("Winner Match #",$A$5),IF($H$5&gt;$J$5,$E$5,$G$5))</f>
        <v>Winner Match #34</v>
      </c>
      <c r="H7" s="123">
        <f t="shared" si="0"/>
      </c>
      <c r="I7" s="124" t="s">
        <v>17</v>
      </c>
      <c r="J7" s="124">
        <f t="shared" si="1"/>
      </c>
      <c r="K7" s="125"/>
      <c r="L7" s="80"/>
      <c r="M7" s="124" t="s">
        <v>17</v>
      </c>
      <c r="N7" s="80"/>
      <c r="O7" s="80"/>
      <c r="P7" s="124" t="s">
        <v>17</v>
      </c>
      <c r="Q7" s="80"/>
      <c r="R7" s="125"/>
      <c r="S7" s="124" t="s">
        <v>17</v>
      </c>
      <c r="T7" s="125"/>
    </row>
    <row r="8" ht="11.25" customHeight="1"/>
  </sheetData>
  <sheetProtection password="CCA4" sheet="1" formatCells="0" formatColumns="0" formatRows="0" selectLockedCells="1"/>
  <printOptions horizontalCentered="1" verticalCentered="1"/>
  <pageMargins left="0.7480314960629921" right="0.7480314960629921" top="0.7874015748031497" bottom="0.3937007874015748" header="0.3937007874015748" footer="0.3937007874015748"/>
  <pageSetup orientation="landscape" paperSize="9" scale="95" r:id="rId1"/>
  <headerFooter alignWithMargins="0">
    <oddHeader>&amp;L&amp;F&amp;C&amp;12Resultate Finalrunde&amp;R&amp;D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2" width="18.7109375" style="96" customWidth="1"/>
    <col min="3" max="3" width="1.8515625" style="96" customWidth="1"/>
    <col min="4" max="4" width="18.7109375" style="96" customWidth="1"/>
    <col min="5" max="5" width="2.7109375" style="96" customWidth="1"/>
    <col min="6" max="6" width="17.8515625" style="96" customWidth="1"/>
    <col min="7" max="7" width="18.7109375" style="96" customWidth="1"/>
    <col min="8" max="16384" width="9.140625" style="96" customWidth="1"/>
  </cols>
  <sheetData>
    <row r="1" spans="2:11" ht="12" customHeight="1">
      <c r="B1" s="95" t="str">
        <f>CONCATENATE(Resultate!$E$4," ")</f>
        <v>Team 1, Gruppe A </v>
      </c>
      <c r="C1"/>
      <c r="D1"/>
      <c r="E1"/>
      <c r="F1"/>
      <c r="H1"/>
      <c r="I1" s="97"/>
      <c r="J1" s="97"/>
      <c r="K1" s="97"/>
    </row>
    <row r="2" spans="2:11" ht="12" customHeight="1">
      <c r="B2" s="98"/>
      <c r="C2"/>
      <c r="D2"/>
      <c r="E2"/>
      <c r="F2"/>
      <c r="G2" s="99"/>
      <c r="H2" s="99"/>
      <c r="I2"/>
      <c r="J2" s="97"/>
      <c r="K2" s="97"/>
    </row>
    <row r="3" spans="1:11" ht="12" customHeight="1">
      <c r="A3" s="95" t="str">
        <f>CONCATENATE(Resultate!$E$2," ")</f>
        <v>Team 3, Gruppe A </v>
      </c>
      <c r="B3" s="100" t="str">
        <f>CONCATENATE("",Resultate!$A$4,"")</f>
        <v>33</v>
      </c>
      <c r="C3" s="101"/>
      <c r="E3" s="101"/>
      <c r="F3"/>
      <c r="G3" s="99"/>
      <c r="H3" s="99"/>
      <c r="I3"/>
      <c r="J3" s="97"/>
      <c r="K3" s="97"/>
    </row>
    <row r="4" spans="1:11" ht="12" customHeight="1">
      <c r="A4" s="98"/>
      <c r="B4" s="102" t="str">
        <f>CONCATENATE("(",Resultate!$H$4," : ",Resultate!$J$4,")")</f>
        <v>( : )</v>
      </c>
      <c r="C4" s="101"/>
      <c r="E4" s="101"/>
      <c r="F4" s="103"/>
      <c r="G4" s="99"/>
      <c r="H4" s="99"/>
      <c r="I4"/>
      <c r="J4" s="97"/>
      <c r="K4" s="97"/>
    </row>
    <row r="5" spans="1:11" ht="12" customHeight="1">
      <c r="A5" s="100" t="str">
        <f>CONCATENATE("",Resultate!$A$2,"")</f>
        <v>31</v>
      </c>
      <c r="B5" s="105" t="str">
        <f>CONCATENATE(Resultate!$G$4," ")</f>
        <v>Winner Match #31 </v>
      </c>
      <c r="C5" s="107"/>
      <c r="D5" s="117" t="str">
        <f>CONCATENATE(Resultate!$E$6," ")</f>
        <v>Loser Match #33 </v>
      </c>
      <c r="E5" s="107"/>
      <c r="F5" s="117" t="str">
        <f>CONCATENATE(Resultate!$E$7," ")</f>
        <v>Winner Match #33 </v>
      </c>
      <c r="G5" s="99"/>
      <c r="H5" s="99"/>
      <c r="I5" s="97"/>
      <c r="J5" s="97"/>
      <c r="K5" s="97"/>
    </row>
    <row r="6" spans="1:11" ht="12" customHeight="1">
      <c r="A6" s="102" t="str">
        <f>CONCATENATE("(",Resultate!$H$2," : ",Resultate!$J$2,")")</f>
        <v>( : )</v>
      </c>
      <c r="B6" s="19"/>
      <c r="C6" s="122"/>
      <c r="D6" s="118"/>
      <c r="E6" s="107"/>
      <c r="F6" s="118"/>
      <c r="G6" s="99"/>
      <c r="H6" s="99"/>
      <c r="I6"/>
      <c r="J6" s="97"/>
      <c r="K6" s="97"/>
    </row>
    <row r="7" spans="1:11" ht="12" customHeight="1">
      <c r="A7" s="105" t="str">
        <f>CONCATENATE(Resultate!$G$2," ")</f>
        <v>Team 2, Gruppe B </v>
      </c>
      <c r="B7" s="103"/>
      <c r="C7" s="122"/>
      <c r="D7" s="130"/>
      <c r="E7" s="129"/>
      <c r="F7" s="130"/>
      <c r="G7" s="99"/>
      <c r="H7" s="110"/>
      <c r="I7"/>
      <c r="J7" s="97"/>
      <c r="K7" s="97"/>
    </row>
    <row r="8" spans="1:11" ht="12" customHeight="1">
      <c r="A8" s="19"/>
      <c r="B8" s="103"/>
      <c r="C8" s="111"/>
      <c r="D8" s="119" t="s">
        <v>52</v>
      </c>
      <c r="E8" s="111"/>
      <c r="F8" s="119" t="s">
        <v>51</v>
      </c>
      <c r="G8" s="104"/>
      <c r="H8" s="110"/>
      <c r="I8" s="97"/>
      <c r="J8" s="97"/>
      <c r="K8" s="97"/>
    </row>
    <row r="9" spans="1:11" ht="12" customHeight="1">
      <c r="A9" s="103"/>
      <c r="B9" s="95" t="str">
        <f>CONCATENATE(Resultate!$E$5," ")</f>
        <v>Team 1, Gruppe B </v>
      </c>
      <c r="C9" s="107"/>
      <c r="D9" s="100" t="str">
        <f>CONCATENATE("",Resultate!$A$6,"")</f>
        <v>35</v>
      </c>
      <c r="E9" s="107"/>
      <c r="F9" s="100" t="str">
        <f>CONCATENATE("",Resultate!$A$7,"")</f>
        <v>36</v>
      </c>
      <c r="G9" s="112"/>
      <c r="H9" s="110"/>
      <c r="I9" s="97"/>
      <c r="J9" s="97"/>
      <c r="K9" s="97"/>
    </row>
    <row r="10" spans="1:11" ht="12" customHeight="1">
      <c r="A10" s="103"/>
      <c r="B10" s="106"/>
      <c r="C10" s="107"/>
      <c r="D10" s="120" t="str">
        <f>CONCATENATE("(",Resultate!$H$6," : ",Resultate!$J$6,")")</f>
        <v>( : )</v>
      </c>
      <c r="E10" s="107"/>
      <c r="F10" s="120" t="str">
        <f>CONCATENATE("(",Resultate!$H$7," : ",Resultate!$J$7,")")</f>
        <v>( : )</v>
      </c>
      <c r="G10" s="108"/>
      <c r="H10" s="110"/>
      <c r="I10" s="97"/>
      <c r="J10" s="97"/>
      <c r="K10" s="97"/>
    </row>
    <row r="11" spans="1:11" ht="12" customHeight="1">
      <c r="A11" s="95" t="str">
        <f>CONCATENATE(Resultate!$E$3," ")</f>
        <v>Team 3, Gruppe B </v>
      </c>
      <c r="B11" s="100" t="str">
        <f>CONCATENATE("",Resultate!$A$5,"")</f>
        <v>34</v>
      </c>
      <c r="C11" s="114"/>
      <c r="D11" s="130"/>
      <c r="E11" s="114"/>
      <c r="F11" s="130"/>
      <c r="G11" s="113"/>
      <c r="H11" s="110"/>
      <c r="I11"/>
      <c r="J11" s="97"/>
      <c r="K11" s="97"/>
    </row>
    <row r="12" spans="1:11" ht="12" customHeight="1">
      <c r="A12" s="106"/>
      <c r="B12" s="102" t="str">
        <f>CONCATENATE("(",Resultate!$H$5," : ",Resultate!$J$5,")")</f>
        <v>( : )</v>
      </c>
      <c r="C12" s="122"/>
      <c r="D12" s="130"/>
      <c r="E12" s="101"/>
      <c r="F12" s="130"/>
      <c r="G12" s="104"/>
      <c r="H12" s="110"/>
      <c r="I12"/>
      <c r="J12" s="97"/>
      <c r="K12" s="97"/>
    </row>
    <row r="13" spans="1:8" s="116" customFormat="1" ht="12" customHeight="1">
      <c r="A13" s="100" t="str">
        <f>CONCATENATE("",Resultate!$A$3,"")</f>
        <v>32</v>
      </c>
      <c r="B13" s="95" t="str">
        <f>CONCATENATE(Resultate!$G$5," ")</f>
        <v>Winner Match #32 </v>
      </c>
      <c r="C13" s="101"/>
      <c r="D13" s="121" t="str">
        <f>CONCATENATE(Resultate!$G$6," ")</f>
        <v>Loser Match #34 </v>
      </c>
      <c r="E13" s="131"/>
      <c r="F13" s="121" t="str">
        <f>CONCATENATE(Resultate!$G$7," ")</f>
        <v>Winner Match #34 </v>
      </c>
      <c r="G13" s="115"/>
      <c r="H13" s="113"/>
    </row>
    <row r="14" spans="1:11" ht="12" customHeight="1">
      <c r="A14" s="102" t="str">
        <f>CONCATENATE("(",Resultate!$H$3," : ",Resultate!$J$3,")")</f>
        <v>( : )</v>
      </c>
      <c r="B14"/>
      <c r="C14" s="107"/>
      <c r="E14" s="19"/>
      <c r="G14" s="109"/>
      <c r="H14" s="110"/>
      <c r="I14" s="97"/>
      <c r="J14" s="97"/>
      <c r="K14" s="97"/>
    </row>
    <row r="15" spans="1:11" ht="12" customHeight="1">
      <c r="A15" s="105" t="str">
        <f>CONCATENATE(Resultate!$G$3," ")</f>
        <v>Team 2, Gruppe A </v>
      </c>
      <c r="B15" s="101"/>
      <c r="C15" s="107"/>
      <c r="E15" s="107"/>
      <c r="G15" s="115"/>
      <c r="H15" s="110"/>
      <c r="I15" s="97"/>
      <c r="J15" s="97"/>
      <c r="K15" s="97"/>
    </row>
    <row r="16" spans="1:11" ht="12" customHeight="1">
      <c r="A16"/>
      <c r="B16"/>
      <c r="C16" s="122"/>
      <c r="D16" s="129"/>
      <c r="E16" s="107"/>
      <c r="G16" s="115"/>
      <c r="H16" s="110"/>
      <c r="I16" s="97"/>
      <c r="J16" s="97"/>
      <c r="K16" s="97"/>
    </row>
    <row r="17" ht="9">
      <c r="A17" s="122"/>
    </row>
  </sheetData>
  <sheetProtection password="CCA4" sheet="1" selectLockedCells="1"/>
  <printOptions horizontalCentered="1" verticalCentered="1"/>
  <pageMargins left="0.3937007874015748" right="0.3937007874015748" top="0.9055118110236221" bottom="0.3937007874015748" header="0.5118110236220472" footer="0.2755905511811024"/>
  <pageSetup horizontalDpi="300" verticalDpi="300" orientation="landscape" paperSize="9" scale="120" r:id="rId1"/>
  <headerFooter alignWithMargins="0">
    <oddHeader>&amp;C&amp;16Tableau Finalrunden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17" sqref="D17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8515625" style="0" customWidth="1"/>
  </cols>
  <sheetData>
    <row r="1" spans="1:3" ht="39" customHeight="1">
      <c r="A1" s="126" t="s">
        <v>33</v>
      </c>
      <c r="B1" s="127" t="s">
        <v>20</v>
      </c>
      <c r="C1" s="127" t="s">
        <v>6</v>
      </c>
    </row>
    <row r="2" spans="1:3" ht="15.75" customHeight="1">
      <c r="A2" s="8">
        <v>1</v>
      </c>
      <c r="B2" s="16" t="str">
        <f>IF(Resultate!$H$7=Resultate!$J$7,"1. Rang",IF(Resultate!$H$7&gt;Resultate!$J$7,Resultate!$E$7,Resultate!$G$7))</f>
        <v>1. Rang</v>
      </c>
      <c r="C2" s="128" t="str">
        <f>IF(B2="1. Rang","zu Hause",VLOOKUP(B2,Anmeldung!$I$2:$J$13,2,FALSE))</f>
        <v>zu Hause</v>
      </c>
    </row>
    <row r="3" spans="1:3" ht="15.75" customHeight="1">
      <c r="A3" s="8">
        <f>SUM(A2,1)</f>
        <v>2</v>
      </c>
      <c r="B3" s="16" t="str">
        <f>IF(Resultate!$H$7=Resultate!$J$7,"2. Rang",IF(Resultate!$H$7&lt;Resultate!$J$7,Resultate!$E$7,Resultate!$G$7))</f>
        <v>2. Rang</v>
      </c>
      <c r="C3" s="128" t="str">
        <f>IF(B3="2. Rang","zu Hause",VLOOKUP(B3,Anmeldung!$I$2:$J$13,2,FALSE))</f>
        <v>zu Hause</v>
      </c>
    </row>
    <row r="4" spans="1:3" ht="15.75" customHeight="1">
      <c r="A4" s="8">
        <f>SUM(A3,1)</f>
        <v>3</v>
      </c>
      <c r="B4" s="16" t="str">
        <f>IF(Resultate!$H$6=Resultate!$J$6,"3. Rang",IF(Resultate!$H$6&gt;Resultate!$J$6,Resultate!$E$6,Resultate!$G$6))</f>
        <v>3. Rang</v>
      </c>
      <c r="C4" s="128" t="str">
        <f>IF(B4="3. Rang","zu Hause",VLOOKUP(B4,Anmeldung!$I$2:$J$13,2,FALSE))</f>
        <v>zu Hause</v>
      </c>
    </row>
    <row r="5" spans="1:3" ht="15.75" customHeight="1">
      <c r="A5" s="8">
        <f>SUM(A4,1)</f>
        <v>4</v>
      </c>
      <c r="B5" s="16" t="str">
        <f>IF(Resultate!$H$6=Resultate!$J$6,"4. Rang",IF(Resultate!$H$6&lt;Resultate!$J$6,Resultate!$E$6,Resultate!$G$6))</f>
        <v>4. Rang</v>
      </c>
      <c r="C5" s="128" t="str">
        <f>IF(B5="4. Rang","zu Hause",VLOOKUP(B5,Anmeldung!$I$2:$J$13,2,FALSE))</f>
        <v>zu Hause</v>
      </c>
    </row>
    <row r="6" spans="1:3" ht="15.75" customHeight="1">
      <c r="A6" s="8">
        <f>SUM(A5,1)</f>
        <v>5</v>
      </c>
      <c r="B6" s="16" t="str">
        <f>IF(Resultate!$H2=Resultate!$J2,"5. Rang",IF(Resultate!$H2&lt;Resultate!$J2,Resultate!$E2,Resultate!$G2))</f>
        <v>5. Rang</v>
      </c>
      <c r="C6" s="128" t="str">
        <f>IF(B6="5. Rang","zu Hause",VLOOKUP(B6,Anmeldung!$I$2:$J$13,2,FALSE))</f>
        <v>zu Hause</v>
      </c>
    </row>
    <row r="7" spans="1:3" ht="15.75" customHeight="1">
      <c r="A7" s="8">
        <v>5</v>
      </c>
      <c r="B7" s="16" t="str">
        <f>IF(Resultate!$H3=Resultate!$J3,"5. Rang",IF(Resultate!$H3&lt;Resultate!$J3,Resultate!$E3,Resultate!$G3))</f>
        <v>5. Rang</v>
      </c>
      <c r="C7" s="128" t="str">
        <f>IF(B7="5. Rang","zu Hause",VLOOKUP(B7,Anmeldung!$I$2:$J$13,2,FALSE))</f>
        <v>zu Hause</v>
      </c>
    </row>
    <row r="8" spans="1:3" ht="15.75" customHeight="1">
      <c r="A8" s="8">
        <v>7</v>
      </c>
      <c r="B8" s="16" t="str">
        <f>IF(RankSeed!N9="Team 4, Gruppe A","7. Rang",RankSeed!N9)</f>
        <v>7. Rang</v>
      </c>
      <c r="C8" s="128" t="str">
        <f>IF(B8="7. Rang","zu Hause",VLOOKUP(B8,Anmeldung!$I$2:$J$13,2,FALSE))</f>
        <v>zu Hause</v>
      </c>
    </row>
    <row r="9" spans="1:3" ht="15.75" customHeight="1">
      <c r="A9" s="8">
        <v>7</v>
      </c>
      <c r="B9" s="16" t="str">
        <f>IF(RankSeed!N10="Team 4, Gruppe B","7. Rang",RankSeed!N10)</f>
        <v>7. Rang</v>
      </c>
      <c r="C9" s="128" t="str">
        <f>IF(B9="7. Rang","zu Hause",VLOOKUP(B9,Anmeldung!$I$2:$J$13,2,FALSE))</f>
        <v>zu Hause</v>
      </c>
    </row>
    <row r="10" spans="1:3" ht="15.75" customHeight="1">
      <c r="A10" s="8">
        <v>9</v>
      </c>
      <c r="B10" s="16" t="str">
        <f>IF(RankSeed!N11="Team 5, Gruppe A","9. Rang",RankSeed!N11)</f>
        <v>9. Rang</v>
      </c>
      <c r="C10" s="128" t="str">
        <f>IF(B10="9. Rang","zu Hause",VLOOKUP(B10,Anmeldung!$I$2:$J$13,2,FALSE))</f>
        <v>zu Hause</v>
      </c>
    </row>
    <row r="11" spans="1:3" ht="15.75" customHeight="1">
      <c r="A11" s="8">
        <v>9</v>
      </c>
      <c r="B11" s="16" t="str">
        <f>IF(RankSeed!N12="Team 5, Gruppe B","9. Rang",RankSeed!N12)</f>
        <v>9. Rang</v>
      </c>
      <c r="C11" s="128" t="str">
        <f>IF(B11="9. Rang","zu Hause",VLOOKUP(B11,Anmeldung!$I$2:$J$13,2,FALSE))</f>
        <v>zu Hause</v>
      </c>
    </row>
    <row r="12" spans="1:3" ht="15.75" customHeight="1">
      <c r="A12" s="8">
        <v>11</v>
      </c>
      <c r="B12" s="16" t="str">
        <f>IF(RankSeed!N13="Team 6, Gruppe A","11. Rang",RankSeed!N13)</f>
        <v>11. Rang</v>
      </c>
      <c r="C12" s="128" t="str">
        <f>IF(B12="11. Rang","zu Hause",VLOOKUP(B12,Anmeldung!$I$2:$J$13,2,FALSE))</f>
        <v>zu Hause</v>
      </c>
    </row>
    <row r="13" spans="1:3" ht="15.75" customHeight="1">
      <c r="A13" s="8">
        <v>11</v>
      </c>
      <c r="B13" s="16" t="str">
        <f>IF(RankSeed!N14="Team 6, Gruppe B","11. Rang",RankSeed!N14)</f>
        <v>11. Rang</v>
      </c>
      <c r="C13" s="128" t="str">
        <f>IF(B13="11. Rang","zu Hause",VLOOKUP(B13,Anmeldung!$I$2:$J$13,2,FALSE))</f>
        <v>zu Hause</v>
      </c>
    </row>
  </sheetData>
  <sheetProtection password="CCA4" sheet="1" selectLockedCells="1"/>
  <printOptions gridLines="1" horizontalCentered="1"/>
  <pageMargins left="0.1968503937007874" right="0.1968503937007874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&amp;L&amp;8&amp;F&amp;C&amp;"Arial,Fett"&amp;12
Schlussrangliste 12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2020-04-07T09:50:52Z</cp:lastPrinted>
  <dcterms:created xsi:type="dcterms:W3CDTF">1997-01-17T14:30:38Z</dcterms:created>
  <dcterms:modified xsi:type="dcterms:W3CDTF">2020-04-07T09:51:03Z</dcterms:modified>
  <cp:category/>
  <cp:version/>
  <cp:contentType/>
  <cp:contentStatus/>
</cp:coreProperties>
</file>